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cross\Documents\GGC Documents 1\APO Tools\APO Pump Tools\"/>
    </mc:Choice>
  </mc:AlternateContent>
  <bookViews>
    <workbookView xWindow="120" yWindow="50" windowWidth="15170" windowHeight="8820" tabRatio="650"/>
  </bookViews>
  <sheets>
    <sheet name="Pump Formulas" sheetId="1" r:id="rId1"/>
    <sheet name="Affinity Laws" sheetId="5" r:id="rId2"/>
    <sheet name="Affinity Laws Toolbox 1" sheetId="2" r:id="rId3"/>
    <sheet name="Affinity Laws Toolbox 2" sheetId="3" r:id="rId4"/>
    <sheet name="Electrical Equations" sheetId="4" r:id="rId5"/>
  </sheets>
  <calcPr calcId="162913"/>
</workbook>
</file>

<file path=xl/calcChain.xml><?xml version="1.0" encoding="utf-8"?>
<calcChain xmlns="http://schemas.openxmlformats.org/spreadsheetml/2006/main">
  <c r="B32" i="2" l="1"/>
  <c r="B28" i="2"/>
  <c r="B60" i="1"/>
  <c r="B49" i="1"/>
  <c r="B17" i="1"/>
  <c r="B33" i="1" l="1"/>
  <c r="B34" i="1" s="1"/>
  <c r="B26" i="1"/>
  <c r="B27" i="1" s="1"/>
  <c r="B36" i="1" l="1"/>
  <c r="B10" i="1"/>
  <c r="B6" i="1" l="1"/>
  <c r="B30" i="3" l="1"/>
  <c r="B25" i="2"/>
  <c r="B20" i="2"/>
  <c r="B10" i="2" l="1"/>
  <c r="B30" i="2" s="1"/>
  <c r="B24" i="3" l="1"/>
  <c r="B31" i="2"/>
  <c r="B13" i="3"/>
  <c r="B17" i="2"/>
  <c r="C37" i="4"/>
  <c r="C27" i="4"/>
  <c r="C17" i="4"/>
  <c r="C8" i="4"/>
  <c r="C32" i="2"/>
  <c r="B33" i="2" s="1"/>
  <c r="B11" i="2"/>
  <c r="C29" i="3"/>
  <c r="B29" i="3" s="1"/>
  <c r="C18" i="3"/>
  <c r="B18" i="3" s="1"/>
  <c r="B19" i="3" s="1"/>
  <c r="B9" i="3"/>
  <c r="B37" i="2" l="1"/>
  <c r="B31" i="3"/>
  <c r="B62" i="1"/>
  <c r="B36" i="2"/>
  <c r="D39" i="2" l="1"/>
  <c r="J38" i="2" l="1"/>
  <c r="C21" i="2"/>
  <c r="B21" i="2" s="1"/>
  <c r="B22" i="2" s="1"/>
</calcChain>
</file>

<file path=xl/comments1.xml><?xml version="1.0" encoding="utf-8"?>
<comments xmlns="http://schemas.openxmlformats.org/spreadsheetml/2006/main">
  <authors>
    <author>Gregory G. Cross</author>
    <author>Greg Cross</author>
    <author>Gregory  Cross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 xml:space="preserve">Enter Design RPM
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</rPr>
          <t>Enter Design Hz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Enter Design GPM</t>
        </r>
      </text>
    </comment>
    <comment ref="B9" authorId="2" shapeId="0">
      <text>
        <r>
          <rPr>
            <b/>
            <sz val="9"/>
            <color indexed="81"/>
            <rFont val="Tahoma"/>
            <family val="2"/>
          </rPr>
          <t>Enter New Hz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Enter Design RPM
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Enter Design Hz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 xml:space="preserve">Enter Design Head
</t>
        </r>
      </text>
    </comment>
    <comment ref="B19" authorId="2" shapeId="0">
      <text>
        <r>
          <rPr>
            <b/>
            <sz val="9"/>
            <color indexed="81"/>
            <rFont val="Tahoma"/>
            <family val="2"/>
          </rPr>
          <t>Enter New Hz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2" shapeId="0">
      <text>
        <r>
          <rPr>
            <b/>
            <sz val="9"/>
            <color indexed="81"/>
            <rFont val="Tahoma"/>
            <family val="2"/>
          </rPr>
          <t>Enter Motor Efficiency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 xml:space="preserve">Enter Design BHP
</t>
        </r>
      </text>
    </comment>
    <comment ref="D40" authorId="1" shapeId="0">
      <text>
        <r>
          <rPr>
            <b/>
            <sz val="9"/>
            <color indexed="81"/>
            <rFont val="Tahoma"/>
            <family val="2"/>
          </rPr>
          <t>Enter Customer Rate</t>
        </r>
      </text>
    </comment>
  </commentList>
</comments>
</file>

<file path=xl/comments2.xml><?xml version="1.0" encoding="utf-8"?>
<comments xmlns="http://schemas.openxmlformats.org/spreadsheetml/2006/main">
  <authors>
    <author>Gregory G. Cross</author>
    <author>Gregory  Cross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 xml:space="preserve">Enter Design GPM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Enter Impeller Diameter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 xml:space="preserve">Enter New Impeller Diameter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Enter Design TDH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Enter Design Impeler Diameter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 xml:space="preserve">Enter New RPM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 xml:space="preserve">Enter Design BHP
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Enter Motor Efficiency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 xml:space="preserve">Enter Design Head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 xml:space="preserve">Enter New RPM
</t>
        </r>
      </text>
    </comment>
  </commentList>
</comments>
</file>

<file path=xl/sharedStrings.xml><?xml version="1.0" encoding="utf-8"?>
<sst xmlns="http://schemas.openxmlformats.org/spreadsheetml/2006/main" count="161" uniqueCount="87">
  <si>
    <t>PSIG</t>
  </si>
  <si>
    <t>&lt; Enter PSIG</t>
  </si>
  <si>
    <t>S.G.</t>
  </si>
  <si>
    <t>&lt; Enter S.G. of Fluid</t>
  </si>
  <si>
    <t>TDH</t>
  </si>
  <si>
    <t>&lt; TDH Result</t>
  </si>
  <si>
    <t>&lt; Enter TDH</t>
  </si>
  <si>
    <t>&lt; PSIG Result</t>
  </si>
  <si>
    <t>GPM</t>
  </si>
  <si>
    <t>&lt; Enter GPM</t>
  </si>
  <si>
    <t>P.E.</t>
  </si>
  <si>
    <t>&lt; Enter Pump Eff.</t>
  </si>
  <si>
    <t>M.E.</t>
  </si>
  <si>
    <t>&lt; Enter Motor Eff.</t>
  </si>
  <si>
    <t>BHP</t>
  </si>
  <si>
    <t>&lt; BHP Result</t>
  </si>
  <si>
    <t>Pump # 1</t>
  </si>
  <si>
    <t># HOURS / DAY</t>
  </si>
  <si>
    <t>&lt; Enter Hours / Day</t>
  </si>
  <si>
    <t># DAYS / YEAR</t>
  </si>
  <si>
    <t>&lt; Enter Days / Year</t>
  </si>
  <si>
    <t>$ / KWH</t>
  </si>
  <si>
    <t>&lt; Enter Cost / kWH</t>
  </si>
  <si>
    <t>Yrly Operate Cost</t>
  </si>
  <si>
    <t>Yearly Cost Result</t>
  </si>
  <si>
    <t>Pump # 2</t>
  </si>
  <si>
    <t>Yrly Saved Pump # 2</t>
  </si>
  <si>
    <t>Basic Pump Formulas</t>
  </si>
  <si>
    <t>Pump Operating Cost Comparison</t>
  </si>
  <si>
    <t>Affinity Laws Toolbox</t>
  </si>
  <si>
    <t xml:space="preserve"> </t>
  </si>
  <si>
    <t>Electrical Equations</t>
  </si>
  <si>
    <r>
      <t>Kw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 Kilowatts into machine</t>
    </r>
  </si>
  <si>
    <t>HP = Horsepower</t>
  </si>
  <si>
    <t>m.e. = motor efficiency</t>
  </si>
  <si>
    <r>
      <t>Kw</t>
    </r>
    <r>
      <rPr>
        <vertAlign val="subscript"/>
        <sz val="10"/>
        <rFont val="Arial"/>
        <family val="2"/>
      </rPr>
      <t>package</t>
    </r>
    <r>
      <rPr>
        <sz val="10"/>
        <rFont val="Arial"/>
        <family val="2"/>
      </rPr>
      <t xml:space="preserve"> = Kilowatts of the package</t>
    </r>
  </si>
  <si>
    <t>HP = Horsepower (motor)</t>
  </si>
  <si>
    <t>HP = Horsepower (fanmotor)</t>
  </si>
  <si>
    <t>KW = Kilowatts</t>
  </si>
  <si>
    <t>p.f. = power factor</t>
  </si>
  <si>
    <t>amps</t>
  </si>
  <si>
    <t>volts</t>
  </si>
  <si>
    <t>Design TDH</t>
  </si>
  <si>
    <t>Design PSIG</t>
  </si>
  <si>
    <t>New TDH</t>
  </si>
  <si>
    <t>New PSIG</t>
  </si>
  <si>
    <t>New BHP</t>
  </si>
  <si>
    <t>Design BHP</t>
  </si>
  <si>
    <t>New Impeller Diameter</t>
  </si>
  <si>
    <t>Design Impeller Diameter</t>
  </si>
  <si>
    <t>Design GPM</t>
  </si>
  <si>
    <t>Design RPM</t>
  </si>
  <si>
    <t>Design Hz</t>
  </si>
  <si>
    <t xml:space="preserve">Design GPM </t>
  </si>
  <si>
    <t xml:space="preserve">New RPM </t>
  </si>
  <si>
    <t xml:space="preserve">New Hz </t>
  </si>
  <si>
    <t>New GPM</t>
  </si>
  <si>
    <t>New RPM</t>
  </si>
  <si>
    <t>New Hz</t>
  </si>
  <si>
    <t>Motor Eff.</t>
  </si>
  <si>
    <t>Design kW</t>
  </si>
  <si>
    <t>New kW</t>
  </si>
  <si>
    <t>Motor Efficiency</t>
  </si>
  <si>
    <t>BHP Reduction</t>
  </si>
  <si>
    <t>kW Reduction</t>
  </si>
  <si>
    <t>Annual Operating Hours</t>
  </si>
  <si>
    <t>Annual kW Reduction</t>
  </si>
  <si>
    <t>Customer Power Rate</t>
  </si>
  <si>
    <t>Annual Customer Energy Savings</t>
  </si>
  <si>
    <r>
      <t xml:space="preserve">Calculating GPM with RPM Change - </t>
    </r>
    <r>
      <rPr>
        <b/>
        <sz val="11"/>
        <color rgb="FFC00000"/>
        <rFont val="Arial"/>
        <family val="2"/>
      </rPr>
      <t>Impeller Diameter Constant</t>
    </r>
  </si>
  <si>
    <r>
      <t xml:space="preserve">Calculating TDH with RPM Change - </t>
    </r>
    <r>
      <rPr>
        <b/>
        <sz val="11"/>
        <color rgb="FFC00000"/>
        <rFont val="Arial"/>
        <family val="2"/>
      </rPr>
      <t>Impeller Diameter Constant</t>
    </r>
  </si>
  <si>
    <r>
      <t xml:space="preserve">Calculating BHP with RPM Change - </t>
    </r>
    <r>
      <rPr>
        <b/>
        <sz val="11"/>
        <color rgb="FFC00000"/>
        <rFont val="Arial"/>
        <family val="2"/>
      </rPr>
      <t>Impeller Diameter Constant</t>
    </r>
  </si>
  <si>
    <r>
      <t xml:space="preserve">Calculating GPM with Impeller Change - </t>
    </r>
    <r>
      <rPr>
        <b/>
        <sz val="11"/>
        <color rgb="FFC00000"/>
        <rFont val="Arial"/>
        <family val="2"/>
      </rPr>
      <t>Speed is Constant</t>
    </r>
  </si>
  <si>
    <r>
      <t xml:space="preserve">Calculating TDH with Impeller Change - </t>
    </r>
    <r>
      <rPr>
        <b/>
        <sz val="11"/>
        <color rgb="FFC00000"/>
        <rFont val="Arial"/>
        <family val="2"/>
      </rPr>
      <t>Speed is Constant</t>
    </r>
  </si>
  <si>
    <r>
      <t xml:space="preserve">Calculating BHP with Impeller Change - </t>
    </r>
    <r>
      <rPr>
        <b/>
        <sz val="11"/>
        <color rgb="FFC00000"/>
        <rFont val="Arial"/>
        <family val="2"/>
      </rPr>
      <t>Speed is Constant</t>
    </r>
  </si>
  <si>
    <t>Sump Volume - Square / Rectangular</t>
  </si>
  <si>
    <t>Width Ft.</t>
  </si>
  <si>
    <t>Length Ft.</t>
  </si>
  <si>
    <t>Depth Ft</t>
  </si>
  <si>
    <t>Cubic Ft</t>
  </si>
  <si>
    <t>Gallons</t>
  </si>
  <si>
    <t>&lt; Enter Width</t>
  </si>
  <si>
    <t>&lt; Enter Length</t>
  </si>
  <si>
    <t>&lt; Enter Depth</t>
  </si>
  <si>
    <t>Sump #1</t>
  </si>
  <si>
    <t>Sump #2</t>
  </si>
  <si>
    <t>Gal Difference of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</si>
</sst>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0"/>
    <numFmt numFmtId="165" formatCode="&quot;$&quot;#,##0.00"/>
    <numFmt numFmtId="166" formatCode="0.0"/>
    <numFmt numFmtId="167" formatCode="0.0%"/>
  </numFmts>
  <fonts count="23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1" xfId="0" applyFont="1" applyFill="1" applyBorder="1" applyProtection="1"/>
    <xf numFmtId="0" fontId="1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/>
    <xf numFmtId="10" fontId="1" fillId="3" borderId="1" xfId="0" applyNumberFormat="1" applyFont="1" applyFill="1" applyBorder="1" applyProtection="1">
      <protection locked="0"/>
    </xf>
    <xf numFmtId="0" fontId="1" fillId="4" borderId="2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164" fontId="1" fillId="3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/>
    </xf>
    <xf numFmtId="0" fontId="6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13" fillId="3" borderId="6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2" xfId="0" applyFont="1" applyFill="1" applyBorder="1"/>
    <xf numFmtId="2" fontId="12" fillId="3" borderId="9" xfId="0" applyNumberFormat="1" applyFont="1" applyFill="1" applyBorder="1"/>
    <xf numFmtId="0" fontId="13" fillId="3" borderId="0" xfId="0" applyFont="1" applyFill="1" applyBorder="1"/>
    <xf numFmtId="1" fontId="12" fillId="3" borderId="9" xfId="0" applyNumberFormat="1" applyFont="1" applyFill="1" applyBorder="1"/>
    <xf numFmtId="0" fontId="15" fillId="3" borderId="0" xfId="0" applyFont="1" applyFill="1" applyBorder="1"/>
    <xf numFmtId="2" fontId="13" fillId="3" borderId="2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 applyProtection="1">
      <protection locked="0"/>
    </xf>
    <xf numFmtId="0" fontId="0" fillId="0" borderId="17" xfId="0" applyBorder="1"/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2" fontId="12" fillId="3" borderId="0" xfId="0" applyNumberFormat="1" applyFont="1" applyFill="1" applyBorder="1"/>
    <xf numFmtId="0" fontId="12" fillId="3" borderId="0" xfId="0" applyFont="1" applyFill="1" applyBorder="1"/>
    <xf numFmtId="2" fontId="12" fillId="3" borderId="2" xfId="0" applyNumberFormat="1" applyFont="1" applyFill="1" applyBorder="1"/>
    <xf numFmtId="166" fontId="13" fillId="3" borderId="2" xfId="0" applyNumberFormat="1" applyFont="1" applyFill="1" applyBorder="1" applyProtection="1">
      <protection locked="0"/>
    </xf>
    <xf numFmtId="167" fontId="13" fillId="3" borderId="2" xfId="0" applyNumberFormat="1" applyFont="1" applyFill="1" applyBorder="1" applyProtection="1">
      <protection locked="0"/>
    </xf>
    <xf numFmtId="166" fontId="12" fillId="3" borderId="11" xfId="0" applyNumberFormat="1" applyFont="1" applyFill="1" applyBorder="1"/>
    <xf numFmtId="166" fontId="13" fillId="3" borderId="2" xfId="0" applyNumberFormat="1" applyFont="1" applyFill="1" applyBorder="1" applyProtection="1"/>
    <xf numFmtId="2" fontId="12" fillId="3" borderId="2" xfId="0" applyNumberFormat="1" applyFont="1" applyFill="1" applyBorder="1" applyProtection="1"/>
    <xf numFmtId="167" fontId="12" fillId="3" borderId="2" xfId="0" applyNumberFormat="1" applyFont="1" applyFill="1" applyBorder="1" applyProtection="1"/>
    <xf numFmtId="2" fontId="12" fillId="3" borderId="9" xfId="0" applyNumberFormat="1" applyFont="1" applyFill="1" applyBorder="1" applyProtection="1"/>
    <xf numFmtId="166" fontId="12" fillId="3" borderId="10" xfId="0" applyNumberFormat="1" applyFont="1" applyFill="1" applyBorder="1"/>
    <xf numFmtId="0" fontId="0" fillId="8" borderId="0" xfId="0" applyFill="1" applyBorder="1"/>
    <xf numFmtId="166" fontId="12" fillId="8" borderId="0" xfId="0" applyNumberFormat="1" applyFont="1" applyFill="1" applyBorder="1" applyProtection="1">
      <protection locked="0"/>
    </xf>
    <xf numFmtId="2" fontId="18" fillId="6" borderId="16" xfId="0" applyNumberFormat="1" applyFont="1" applyFill="1" applyBorder="1"/>
    <xf numFmtId="0" fontId="0" fillId="0" borderId="20" xfId="0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0" fillId="3" borderId="19" xfId="0" applyFill="1" applyBorder="1"/>
    <xf numFmtId="0" fontId="0" fillId="3" borderId="12" xfId="0" applyFill="1" applyBorder="1"/>
    <xf numFmtId="0" fontId="0" fillId="3" borderId="13" xfId="0" applyFill="1" applyBorder="1"/>
    <xf numFmtId="0" fontId="5" fillId="3" borderId="15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12" fillId="3" borderId="15" xfId="0" applyFont="1" applyFill="1" applyBorder="1"/>
    <xf numFmtId="0" fontId="13" fillId="3" borderId="15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1" xfId="0" applyFill="1" applyBorder="1"/>
    <xf numFmtId="0" fontId="13" fillId="7" borderId="22" xfId="0" applyFont="1" applyFill="1" applyBorder="1"/>
    <xf numFmtId="0" fontId="13" fillId="7" borderId="23" xfId="0" applyFont="1" applyFill="1" applyBorder="1"/>
    <xf numFmtId="0" fontId="12" fillId="7" borderId="24" xfId="0" applyFont="1" applyFill="1" applyBorder="1"/>
    <xf numFmtId="0" fontId="12" fillId="7" borderId="23" xfId="0" applyFont="1" applyFill="1" applyBorder="1"/>
    <xf numFmtId="0" fontId="14" fillId="8" borderId="15" xfId="0" applyFont="1" applyFill="1" applyBorder="1"/>
    <xf numFmtId="0" fontId="0" fillId="8" borderId="18" xfId="0" applyFill="1" applyBorder="1"/>
    <xf numFmtId="0" fontId="1" fillId="4" borderId="0" xfId="0" applyFont="1" applyFill="1" applyBorder="1"/>
    <xf numFmtId="0" fontId="1" fillId="2" borderId="29" xfId="0" applyFont="1" applyFill="1" applyBorder="1" applyProtection="1"/>
    <xf numFmtId="0" fontId="2" fillId="2" borderId="29" xfId="0" applyFont="1" applyFill="1" applyBorder="1" applyProtection="1"/>
    <xf numFmtId="0" fontId="1" fillId="4" borderId="0" xfId="0" applyFont="1" applyFill="1" applyBorder="1" applyProtection="1"/>
    <xf numFmtId="0" fontId="0" fillId="4" borderId="0" xfId="0" applyFill="1" applyBorder="1"/>
    <xf numFmtId="0" fontId="1" fillId="3" borderId="0" xfId="0" applyFont="1" applyFill="1" applyBorder="1" applyProtection="1"/>
    <xf numFmtId="0" fontId="1" fillId="3" borderId="15" xfId="0" applyFont="1" applyFill="1" applyBorder="1" applyProtection="1"/>
    <xf numFmtId="3" fontId="13" fillId="3" borderId="2" xfId="0" applyNumberFormat="1" applyFont="1" applyFill="1" applyBorder="1" applyProtection="1">
      <protection locked="0"/>
    </xf>
    <xf numFmtId="0" fontId="12" fillId="3" borderId="2" xfId="0" applyFont="1" applyFill="1" applyBorder="1" applyProtection="1"/>
    <xf numFmtId="10" fontId="12" fillId="3" borderId="2" xfId="0" applyNumberFormat="1" applyFont="1" applyFill="1" applyBorder="1" applyProtection="1"/>
    <xf numFmtId="0" fontId="13" fillId="3" borderId="6" xfId="0" applyFont="1" applyFill="1" applyBorder="1" applyProtection="1"/>
    <xf numFmtId="0" fontId="0" fillId="8" borderId="0" xfId="0" applyFill="1"/>
    <xf numFmtId="2" fontId="13" fillId="3" borderId="2" xfId="0" applyNumberFormat="1" applyFont="1" applyFill="1" applyBorder="1" applyProtection="1"/>
    <xf numFmtId="4" fontId="2" fillId="3" borderId="1" xfId="0" applyNumberFormat="1" applyFont="1" applyFill="1" applyBorder="1" applyProtection="1"/>
    <xf numFmtId="166" fontId="12" fillId="3" borderId="2" xfId="0" applyNumberFormat="1" applyFont="1" applyFill="1" applyBorder="1" applyProtection="1">
      <protection locked="0"/>
    </xf>
    <xf numFmtId="1" fontId="12" fillId="3" borderId="2" xfId="0" applyNumberFormat="1" applyFont="1" applyFill="1" applyBorder="1" applyProtection="1"/>
    <xf numFmtId="0" fontId="0" fillId="8" borderId="15" xfId="0" applyFill="1" applyBorder="1"/>
    <xf numFmtId="0" fontId="20" fillId="8" borderId="15" xfId="0" applyFont="1" applyFill="1" applyBorder="1"/>
    <xf numFmtId="0" fontId="0" fillId="8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1" fillId="10" borderId="1" xfId="0" applyFont="1" applyFill="1" applyBorder="1"/>
    <xf numFmtId="0" fontId="0" fillId="10" borderId="1" xfId="0" applyFill="1" applyBorder="1"/>
    <xf numFmtId="0" fontId="4" fillId="10" borderId="1" xfId="0" applyFont="1" applyFill="1" applyBorder="1" applyAlignment="1" applyProtection="1">
      <alignment horizontal="left"/>
    </xf>
    <xf numFmtId="0" fontId="1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20" fillId="9" borderId="29" xfId="0" applyFont="1" applyFill="1" applyBorder="1"/>
    <xf numFmtId="0" fontId="18" fillId="9" borderId="29" xfId="0" applyFont="1" applyFill="1" applyBorder="1" applyAlignment="1">
      <alignment vertical="center"/>
    </xf>
    <xf numFmtId="165" fontId="2" fillId="2" borderId="31" xfId="0" applyNumberFormat="1" applyFont="1" applyFill="1" applyBorder="1" applyProtection="1"/>
    <xf numFmtId="0" fontId="1" fillId="3" borderId="18" xfId="0" applyFont="1" applyFill="1" applyBorder="1" applyProtection="1"/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3" borderId="0" xfId="0" applyFont="1" applyFill="1" applyBorder="1" applyAlignment="1"/>
    <xf numFmtId="0" fontId="0" fillId="3" borderId="0" xfId="0" applyFill="1" applyBorder="1" applyAlignment="1"/>
    <xf numFmtId="0" fontId="12" fillId="3" borderId="4" xfId="0" applyFont="1" applyFill="1" applyBorder="1" applyAlignment="1" applyProtection="1">
      <alignment horizontal="left"/>
      <protection locked="0"/>
    </xf>
    <xf numFmtId="0" fontId="12" fillId="3" borderId="6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2" borderId="1" xfId="0" applyFont="1" applyFill="1" applyBorder="1" applyProtection="1"/>
    <xf numFmtId="0" fontId="1" fillId="4" borderId="3" xfId="0" applyFont="1" applyFill="1" applyBorder="1" applyProtection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11" borderId="4" xfId="0" applyFill="1" applyBorder="1" applyProtection="1"/>
    <xf numFmtId="0" fontId="0" fillId="11" borderId="5" xfId="0" applyFill="1" applyBorder="1" applyProtection="1"/>
    <xf numFmtId="0" fontId="0" fillId="11" borderId="6" xfId="0" applyFill="1" applyBorder="1" applyProtection="1"/>
    <xf numFmtId="0" fontId="2" fillId="11" borderId="29" xfId="0" applyFont="1" applyFill="1" applyBorder="1" applyProtection="1"/>
    <xf numFmtId="0" fontId="22" fillId="11" borderId="30" xfId="0" applyFont="1" applyFill="1" applyBorder="1" applyProtection="1"/>
    <xf numFmtId="166" fontId="12" fillId="13" borderId="11" xfId="0" applyNumberFormat="1" applyFont="1" applyFill="1" applyBorder="1" applyProtection="1"/>
    <xf numFmtId="1" fontId="12" fillId="13" borderId="10" xfId="0" applyNumberFormat="1" applyFont="1" applyFill="1" applyBorder="1" applyProtection="1"/>
    <xf numFmtId="3" fontId="12" fillId="13" borderId="11" xfId="0" applyNumberFormat="1" applyFont="1" applyFill="1" applyBorder="1" applyProtection="1"/>
    <xf numFmtId="166" fontId="12" fillId="13" borderId="10" xfId="0" applyNumberFormat="1" applyFont="1" applyFill="1" applyBorder="1" applyProtection="1"/>
    <xf numFmtId="165" fontId="12" fillId="3" borderId="1" xfId="0" applyNumberFormat="1" applyFont="1" applyFill="1" applyBorder="1" applyAlignment="1">
      <alignment horizontal="left"/>
    </xf>
    <xf numFmtId="4" fontId="12" fillId="3" borderId="3" xfId="0" applyNumberFormat="1" applyFont="1" applyFill="1" applyBorder="1" applyAlignment="1">
      <alignment horizontal="left"/>
    </xf>
    <xf numFmtId="4" fontId="12" fillId="0" borderId="2" xfId="0" applyNumberFormat="1" applyFont="1" applyBorder="1" applyAlignment="1">
      <alignment horizontal="left"/>
    </xf>
    <xf numFmtId="164" fontId="12" fillId="3" borderId="28" xfId="0" applyNumberFormat="1" applyFont="1" applyFill="1" applyBorder="1" applyAlignment="1" applyProtection="1">
      <alignment horizontal="left"/>
    </xf>
    <xf numFmtId="0" fontId="0" fillId="3" borderId="27" xfId="0" applyFill="1" applyBorder="1" applyAlignment="1" applyProtection="1">
      <alignment horizontal="left"/>
    </xf>
    <xf numFmtId="0" fontId="12" fillId="12" borderId="22" xfId="0" applyFont="1" applyFill="1" applyBorder="1"/>
    <xf numFmtId="0" fontId="12" fillId="12" borderId="23" xfId="0" applyFont="1" applyFill="1" applyBorder="1"/>
    <xf numFmtId="0" fontId="12" fillId="12" borderId="24" xfId="0" applyFont="1" applyFill="1" applyBorder="1"/>
    <xf numFmtId="0" fontId="14" fillId="12" borderId="23" xfId="0" applyFont="1" applyFill="1" applyBorder="1"/>
    <xf numFmtId="0" fontId="14" fillId="12" borderId="24" xfId="0" applyFont="1" applyFill="1" applyBorder="1"/>
    <xf numFmtId="0" fontId="12" fillId="12" borderId="25" xfId="0" applyFont="1" applyFill="1" applyBorder="1"/>
    <xf numFmtId="0" fontId="12" fillId="12" borderId="26" xfId="0" applyFont="1" applyFill="1" applyBorder="1"/>
    <xf numFmtId="0" fontId="12" fillId="12" borderId="25" xfId="0" applyFont="1" applyFill="1" applyBorder="1" applyAlignment="1"/>
    <xf numFmtId="0" fontId="12" fillId="12" borderId="5" xfId="0" applyFont="1" applyFill="1" applyBorder="1" applyAlignment="1"/>
    <xf numFmtId="0" fontId="12" fillId="12" borderId="6" xfId="0" applyFont="1" applyFill="1" applyBorder="1" applyAlignment="1"/>
    <xf numFmtId="2" fontId="12" fillId="12" borderId="15" xfId="0" applyNumberFormat="1" applyFont="1" applyFill="1" applyBorder="1" applyAlignment="1"/>
    <xf numFmtId="2" fontId="0" fillId="12" borderId="0" xfId="0" applyNumberFormat="1" applyFill="1" applyBorder="1" applyAlignment="1"/>
    <xf numFmtId="2" fontId="0" fillId="12" borderId="2" xfId="0" applyNumberFormat="1" applyFill="1" applyBorder="1" applyAlignment="1"/>
    <xf numFmtId="2" fontId="12" fillId="12" borderId="17" xfId="0" applyNumberFormat="1" applyFont="1" applyFill="1" applyBorder="1" applyAlignment="1"/>
    <xf numFmtId="2" fontId="0" fillId="12" borderId="18" xfId="0" applyNumberFormat="1" applyFill="1" applyBorder="1" applyAlignment="1"/>
    <xf numFmtId="2" fontId="0" fillId="12" borderId="27" xfId="0" applyNumberFormat="1" applyFill="1" applyBorder="1" applyAlignment="1"/>
    <xf numFmtId="0" fontId="12" fillId="12" borderId="1" xfId="0" applyFont="1" applyFill="1" applyBorder="1" applyAlignment="1"/>
    <xf numFmtId="166" fontId="14" fillId="13" borderId="1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0000FF"/>
      <color rgb="FF0033CC"/>
      <color rgb="FF000099"/>
      <color rgb="FF00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476252</xdr:colOff>
      <xdr:row>53</xdr:row>
      <xdr:rowOff>114307</xdr:rowOff>
    </xdr:from>
    <xdr:to>
      <xdr:col>6</xdr:col>
      <xdr:colOff>392590</xdr:colOff>
      <xdr:row>56</xdr:row>
      <xdr:rowOff>139143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2" y="8439157"/>
          <a:ext cx="1135538" cy="51061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371476</xdr:colOff>
      <xdr:row>22</xdr:row>
      <xdr:rowOff>104775</xdr:rowOff>
    </xdr:from>
    <xdr:to>
      <xdr:col>6</xdr:col>
      <xdr:colOff>599325</xdr:colOff>
      <xdr:row>25</xdr:row>
      <xdr:rowOff>19106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6" y="3409950"/>
          <a:ext cx="1447049" cy="40010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</xdr:col>
      <xdr:colOff>282575</xdr:colOff>
      <xdr:row>17</xdr:row>
      <xdr:rowOff>66675</xdr:rowOff>
    </xdr:from>
    <xdr:to>
      <xdr:col>7</xdr:col>
      <xdr:colOff>279400</xdr:colOff>
      <xdr:row>21</xdr:row>
      <xdr:rowOff>57150</xdr:rowOff>
    </xdr:to>
    <xdr:sp macro="" textlink="">
      <xdr:nvSpPr>
        <xdr:cNvPr id="5" name="TextBox 4"/>
        <xdr:cNvSpPr txBox="1"/>
      </xdr:nvSpPr>
      <xdr:spPr>
        <a:xfrm>
          <a:off x="4168775" y="2676525"/>
          <a:ext cx="1825625" cy="542925"/>
        </a:xfrm>
        <a:prstGeom prst="rect">
          <a:avLst/>
        </a:prstGeom>
        <a:solidFill>
          <a:srgbClr val="FFFFFF"/>
        </a:solidFill>
        <a:ln w="158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BHP</a:t>
          </a:r>
          <a:r>
            <a:rPr lang="en-US" sz="1200" b="1" baseline="0"/>
            <a:t> = </a:t>
          </a:r>
          <a:r>
            <a:rPr lang="en-US" sz="1200" b="1" u="sng" baseline="0"/>
            <a:t>GPM x TDH x SG</a:t>
          </a:r>
        </a:p>
        <a:p>
          <a:r>
            <a:rPr lang="en-US" sz="1200" b="1" u="none" baseline="0"/>
            <a:t>         (3960) / (PE) / (ME)</a:t>
          </a:r>
          <a:endParaRPr lang="en-US" sz="1200" b="1" u="none"/>
        </a:p>
      </xdr:txBody>
    </xdr:sp>
    <xdr:clientData/>
  </xdr:twoCellAnchor>
  <xdr:twoCellAnchor editAs="oneCell">
    <xdr:from>
      <xdr:col>4</xdr:col>
      <xdr:colOff>393700</xdr:colOff>
      <xdr:row>36</xdr:row>
      <xdr:rowOff>63500</xdr:rowOff>
    </xdr:from>
    <xdr:to>
      <xdr:col>7</xdr:col>
      <xdr:colOff>43346</xdr:colOff>
      <xdr:row>39</xdr:row>
      <xdr:rowOff>127000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9900" y="5607050"/>
          <a:ext cx="1478446" cy="539750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438151</xdr:colOff>
      <xdr:row>28</xdr:row>
      <xdr:rowOff>88900</xdr:rowOff>
    </xdr:from>
    <xdr:to>
      <xdr:col>6</xdr:col>
      <xdr:colOff>503743</xdr:colOff>
      <xdr:row>32</xdr:row>
      <xdr:rowOff>111775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4362450"/>
          <a:ext cx="1284792" cy="657875"/>
        </a:xfrm>
        <a:prstGeom prst="rect">
          <a:avLst/>
        </a:prstGeom>
      </xdr:spPr>
    </xdr:pic>
    <xdr:clientData/>
  </xdr:twoCellAnchor>
  <xdr:twoCellAnchor editAs="oneCell">
    <xdr:from>
      <xdr:col>4</xdr:col>
      <xdr:colOff>539750</xdr:colOff>
      <xdr:row>44</xdr:row>
      <xdr:rowOff>152400</xdr:rowOff>
    </xdr:from>
    <xdr:to>
      <xdr:col>6</xdr:col>
      <xdr:colOff>412750</xdr:colOff>
      <xdr:row>48</xdr:row>
      <xdr:rowOff>131053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950" y="6997700"/>
          <a:ext cx="1092200" cy="63905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1</xdr:row>
      <xdr:rowOff>57150</xdr:rowOff>
    </xdr:from>
    <xdr:to>
      <xdr:col>6</xdr:col>
      <xdr:colOff>558800</xdr:colOff>
      <xdr:row>8</xdr:row>
      <xdr:rowOff>78688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215900"/>
          <a:ext cx="1206500" cy="107563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</xdr:col>
      <xdr:colOff>288925</xdr:colOff>
      <xdr:row>9</xdr:row>
      <xdr:rowOff>123825</xdr:rowOff>
    </xdr:from>
    <xdr:to>
      <xdr:col>7</xdr:col>
      <xdr:colOff>184150</xdr:colOff>
      <xdr:row>16</xdr:row>
      <xdr:rowOff>63500</xdr:rowOff>
    </xdr:to>
    <xdr:sp macro="" textlink="">
      <xdr:nvSpPr>
        <xdr:cNvPr id="11" name="TextBox 10"/>
        <xdr:cNvSpPr txBox="1"/>
      </xdr:nvSpPr>
      <xdr:spPr>
        <a:xfrm>
          <a:off x="4175125" y="1501775"/>
          <a:ext cx="1724025" cy="1006475"/>
        </a:xfrm>
        <a:prstGeom prst="rect">
          <a:avLst/>
        </a:prstGeom>
        <a:solidFill>
          <a:srgbClr val="FFFFFF"/>
        </a:solidFill>
        <a:ln w="158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TDH =  </a:t>
          </a:r>
          <a:r>
            <a:rPr lang="en-US" sz="1200" b="1" u="sng"/>
            <a:t>PSIG x 2.31</a:t>
          </a:r>
        </a:p>
        <a:p>
          <a:r>
            <a:rPr lang="en-US" sz="1200" b="1"/>
            <a:t>                    S.G.</a:t>
          </a:r>
        </a:p>
        <a:p>
          <a:endParaRPr lang="en-US" sz="1200" b="1"/>
        </a:p>
        <a:p>
          <a:r>
            <a:rPr lang="en-US" sz="1200" b="1"/>
            <a:t>PSIG =  </a:t>
          </a:r>
          <a:r>
            <a:rPr lang="en-US" sz="1200" b="1" u="sng"/>
            <a:t>.433 x TDH x S.G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523875</xdr:colOff>
      <xdr:row>63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8675" cy="1022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559325</xdr:colOff>
      <xdr:row>5</xdr:row>
      <xdr:rowOff>63500</xdr:rowOff>
    </xdr:from>
    <xdr:to>
      <xdr:col>17</xdr:col>
      <xdr:colOff>301625</xdr:colOff>
      <xdr:row>14</xdr:row>
      <xdr:rowOff>39688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50" y="857250"/>
          <a:ext cx="1575863" cy="140493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35</xdr:row>
      <xdr:rowOff>19050</xdr:rowOff>
    </xdr:from>
    <xdr:to>
      <xdr:col>6</xdr:col>
      <xdr:colOff>457199</xdr:colOff>
      <xdr:row>36</xdr:row>
      <xdr:rowOff>76200</xdr:rowOff>
    </xdr:to>
    <xdr:sp macro="" textlink="">
      <xdr:nvSpPr>
        <xdr:cNvPr id="4" name="TextBox 3"/>
        <xdr:cNvSpPr txBox="1"/>
      </xdr:nvSpPr>
      <xdr:spPr>
        <a:xfrm>
          <a:off x="2943224" y="6105525"/>
          <a:ext cx="1876425" cy="247650"/>
        </a:xfrm>
        <a:prstGeom prst="rect">
          <a:avLst/>
        </a:prstGeom>
        <a:solidFill>
          <a:srgbClr val="FFFFFF"/>
        </a:solidFill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 baseline="0">
              <a:latin typeface="Arial" pitchFamily="34" charset="0"/>
            </a:rPr>
            <a:t>Energy Calculations</a:t>
          </a:r>
        </a:p>
      </xdr:txBody>
    </xdr:sp>
    <xdr:clientData/>
  </xdr:twoCellAnchor>
  <xdr:twoCellAnchor editAs="oneCell">
    <xdr:from>
      <xdr:col>7</xdr:col>
      <xdr:colOff>555317</xdr:colOff>
      <xdr:row>8</xdr:row>
      <xdr:rowOff>82550</xdr:rowOff>
    </xdr:from>
    <xdr:to>
      <xdr:col>10</xdr:col>
      <xdr:colOff>37064</xdr:colOff>
      <xdr:row>15</xdr:row>
      <xdr:rowOff>25400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617" y="1384300"/>
          <a:ext cx="1310547" cy="11684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</xdr:colOff>
      <xdr:row>7</xdr:row>
      <xdr:rowOff>152400</xdr:rowOff>
    </xdr:from>
    <xdr:to>
      <xdr:col>7</xdr:col>
      <xdr:colOff>31750</xdr:colOff>
      <xdr:row>13</xdr:row>
      <xdr:rowOff>161238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409700"/>
          <a:ext cx="1206500" cy="107563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28</xdr:row>
      <xdr:rowOff>19050</xdr:rowOff>
    </xdr:from>
    <xdr:to>
      <xdr:col>1</xdr:col>
      <xdr:colOff>2562225</xdr:colOff>
      <xdr:row>31</xdr:row>
      <xdr:rowOff>142875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4438650"/>
          <a:ext cx="2543175" cy="609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28</xdr:row>
      <xdr:rowOff>19050</xdr:rowOff>
    </xdr:from>
    <xdr:to>
      <xdr:col>1</xdr:col>
      <xdr:colOff>609600</xdr:colOff>
      <xdr:row>31</xdr:row>
      <xdr:rowOff>142875</xdr:rowOff>
    </xdr:to>
    <xdr:sp macro="" textlink="">
      <xdr:nvSpPr>
        <xdr:cNvPr id="4107" name="AutoShape 35"/>
        <xdr:cNvSpPr>
          <a:spLocks noChangeAspect="1" noChangeArrowheads="1"/>
        </xdr:cNvSpPr>
      </xdr:nvSpPr>
      <xdr:spPr bwMode="auto">
        <a:xfrm>
          <a:off x="1590675" y="4438650"/>
          <a:ext cx="5905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1727200</xdr:colOff>
          <xdr:row>3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1</xdr:col>
          <xdr:colOff>2603500</xdr:colOff>
          <xdr:row>21</xdr:row>
          <xdr:rowOff>146050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254000</xdr:colOff>
      <xdr:row>6</xdr:row>
      <xdr:rowOff>120650</xdr:rowOff>
    </xdr:from>
    <xdr:to>
      <xdr:col>0</xdr:col>
      <xdr:colOff>1460500</xdr:colOff>
      <xdr:row>13</xdr:row>
      <xdr:rowOff>27888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085850"/>
          <a:ext cx="1206500" cy="107563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I113"/>
  <sheetViews>
    <sheetView tabSelected="1" workbookViewId="0">
      <selection activeCell="B60" sqref="B60"/>
    </sheetView>
  </sheetViews>
  <sheetFormatPr defaultRowHeight="12.5" x14ac:dyDescent="0.25"/>
  <cols>
    <col min="1" max="1" width="19.81640625" customWidth="1"/>
    <col min="2" max="2" width="13.26953125" customWidth="1"/>
    <col min="3" max="3" width="21.7265625" customWidth="1"/>
    <col min="4" max="4" width="0.81640625" customWidth="1"/>
  </cols>
  <sheetData>
    <row r="1" spans="1:8" x14ac:dyDescent="0.25">
      <c r="A1" s="94" t="s">
        <v>27</v>
      </c>
      <c r="B1" s="95"/>
      <c r="C1" s="95"/>
      <c r="D1" s="49"/>
      <c r="E1" s="49"/>
      <c r="F1" s="49"/>
      <c r="G1" s="49"/>
      <c r="H1" s="50"/>
    </row>
    <row r="2" spans="1:8" x14ac:dyDescent="0.25">
      <c r="A2" s="96"/>
      <c r="B2" s="97"/>
      <c r="C2" s="97"/>
      <c r="D2" s="10"/>
      <c r="E2" s="10"/>
      <c r="F2" s="10"/>
      <c r="G2" s="10"/>
      <c r="H2" s="52"/>
    </row>
    <row r="3" spans="1:8" x14ac:dyDescent="0.25">
      <c r="A3" s="113"/>
      <c r="B3" s="114"/>
      <c r="C3" s="115"/>
      <c r="D3" s="65"/>
      <c r="E3" s="10"/>
      <c r="F3" s="10"/>
      <c r="G3" s="10"/>
      <c r="H3" s="52"/>
    </row>
    <row r="4" spans="1:8" ht="13" x14ac:dyDescent="0.3">
      <c r="A4" s="108" t="s">
        <v>0</v>
      </c>
      <c r="B4" s="2">
        <v>51.96</v>
      </c>
      <c r="C4" s="8" t="s">
        <v>1</v>
      </c>
      <c r="D4" s="65"/>
      <c r="E4" s="10"/>
      <c r="F4" s="10"/>
      <c r="G4" s="10"/>
      <c r="H4" s="52"/>
    </row>
    <row r="5" spans="1:8" ht="13" x14ac:dyDescent="0.3">
      <c r="A5" s="108" t="s">
        <v>2</v>
      </c>
      <c r="B5" s="2">
        <v>1</v>
      </c>
      <c r="C5" s="8" t="s">
        <v>3</v>
      </c>
      <c r="D5" s="65"/>
      <c r="E5" s="10"/>
      <c r="F5" s="10"/>
      <c r="G5" s="10"/>
      <c r="H5" s="52"/>
    </row>
    <row r="6" spans="1:8" ht="13" x14ac:dyDescent="0.3">
      <c r="A6" s="1" t="s">
        <v>4</v>
      </c>
      <c r="B6" s="3">
        <f>SUM(B4*2.31)/B5</f>
        <v>120.02760000000001</v>
      </c>
      <c r="C6" s="6" t="s">
        <v>5</v>
      </c>
      <c r="D6" s="65"/>
      <c r="E6" s="10"/>
      <c r="F6" s="10"/>
      <c r="G6" s="10"/>
      <c r="H6" s="52"/>
    </row>
    <row r="7" spans="1:8" ht="6" customHeight="1" x14ac:dyDescent="0.25">
      <c r="A7" s="109"/>
      <c r="B7" s="68"/>
      <c r="C7" s="5"/>
      <c r="D7" s="65"/>
      <c r="E7" s="10"/>
      <c r="F7" s="10"/>
      <c r="G7" s="10"/>
      <c r="H7" s="52"/>
    </row>
    <row r="8" spans="1:8" ht="13" x14ac:dyDescent="0.3">
      <c r="A8" s="108" t="s">
        <v>4</v>
      </c>
      <c r="B8" s="2">
        <v>120</v>
      </c>
      <c r="C8" s="8" t="s">
        <v>6</v>
      </c>
      <c r="D8" s="65"/>
      <c r="E8" s="10"/>
      <c r="F8" s="10"/>
      <c r="G8" s="10"/>
      <c r="H8" s="52"/>
    </row>
    <row r="9" spans="1:8" ht="13" x14ac:dyDescent="0.3">
      <c r="A9" s="108" t="s">
        <v>2</v>
      </c>
      <c r="B9" s="2">
        <v>1</v>
      </c>
      <c r="C9" s="8" t="s">
        <v>3</v>
      </c>
      <c r="D9" s="65"/>
      <c r="E9" s="10"/>
      <c r="F9" s="10"/>
      <c r="G9" s="10"/>
      <c r="H9" s="52"/>
    </row>
    <row r="10" spans="1:8" ht="13" x14ac:dyDescent="0.3">
      <c r="A10" s="1" t="s">
        <v>0</v>
      </c>
      <c r="B10" s="3">
        <f>SUM(0.433*B9*B8)</f>
        <v>51.96</v>
      </c>
      <c r="C10" s="6" t="s">
        <v>7</v>
      </c>
      <c r="D10" s="65"/>
      <c r="E10" s="10"/>
      <c r="F10" s="10"/>
      <c r="G10" s="10"/>
      <c r="H10" s="52"/>
    </row>
    <row r="11" spans="1:8" ht="6" customHeight="1" x14ac:dyDescent="0.25">
      <c r="A11" s="109"/>
      <c r="B11" s="68"/>
      <c r="C11" s="5"/>
      <c r="D11" s="65"/>
      <c r="E11" s="10"/>
      <c r="F11" s="10"/>
      <c r="G11" s="10"/>
      <c r="H11" s="52"/>
    </row>
    <row r="12" spans="1:8" ht="13" x14ac:dyDescent="0.3">
      <c r="A12" s="108" t="s">
        <v>8</v>
      </c>
      <c r="B12" s="2">
        <v>1463</v>
      </c>
      <c r="C12" s="87" t="s">
        <v>9</v>
      </c>
      <c r="D12" s="65"/>
      <c r="E12" s="10"/>
      <c r="F12" s="10"/>
      <c r="G12" s="10"/>
      <c r="H12" s="52"/>
    </row>
    <row r="13" spans="1:8" ht="13" x14ac:dyDescent="0.3">
      <c r="A13" s="108" t="s">
        <v>4</v>
      </c>
      <c r="B13" s="2">
        <v>105</v>
      </c>
      <c r="C13" s="8" t="s">
        <v>6</v>
      </c>
      <c r="D13" s="65"/>
      <c r="E13" s="10"/>
      <c r="F13" s="10"/>
      <c r="G13" s="10"/>
      <c r="H13" s="52"/>
    </row>
    <row r="14" spans="1:8" ht="13" x14ac:dyDescent="0.3">
      <c r="A14" s="108" t="s">
        <v>2</v>
      </c>
      <c r="B14" s="2">
        <v>1</v>
      </c>
      <c r="C14" s="8" t="s">
        <v>3</v>
      </c>
      <c r="D14" s="65"/>
      <c r="E14" s="10"/>
      <c r="F14" s="10"/>
      <c r="G14" s="10"/>
      <c r="H14" s="52"/>
    </row>
    <row r="15" spans="1:8" ht="13" x14ac:dyDescent="0.3">
      <c r="A15" s="108" t="s">
        <v>10</v>
      </c>
      <c r="B15" s="4">
        <v>0.72</v>
      </c>
      <c r="C15" s="8" t="s">
        <v>11</v>
      </c>
      <c r="D15" s="65"/>
      <c r="E15" s="10"/>
      <c r="F15" s="10"/>
      <c r="G15" s="10"/>
      <c r="H15" s="52"/>
    </row>
    <row r="16" spans="1:8" ht="13" x14ac:dyDescent="0.3">
      <c r="A16" s="108" t="s">
        <v>12</v>
      </c>
      <c r="B16" s="4">
        <v>0.95</v>
      </c>
      <c r="C16" s="8" t="s">
        <v>13</v>
      </c>
      <c r="D16" s="65"/>
      <c r="E16" s="10"/>
      <c r="F16" s="10"/>
      <c r="G16" s="10"/>
      <c r="H16" s="52"/>
    </row>
    <row r="17" spans="1:8" ht="13" x14ac:dyDescent="0.3">
      <c r="A17" s="1" t="s">
        <v>14</v>
      </c>
      <c r="B17" s="3">
        <f>SUM(B12*B13*B14)/(3960)/(B15)/(B16)</f>
        <v>56.712962962962969</v>
      </c>
      <c r="C17" s="6" t="s">
        <v>15</v>
      </c>
      <c r="D17" s="65"/>
      <c r="E17" s="10"/>
      <c r="F17" s="10"/>
      <c r="G17" s="10"/>
      <c r="H17" s="52"/>
    </row>
    <row r="18" spans="1:8" ht="6" customHeight="1" x14ac:dyDescent="0.25">
      <c r="A18" s="110"/>
      <c r="B18" s="111"/>
      <c r="C18" s="112"/>
      <c r="D18" s="69"/>
      <c r="E18" s="10"/>
      <c r="F18" s="10"/>
      <c r="G18" s="10"/>
      <c r="H18" s="52"/>
    </row>
    <row r="19" spans="1:8" ht="12.75" customHeight="1" x14ac:dyDescent="0.25">
      <c r="A19" s="81"/>
      <c r="B19" s="42"/>
      <c r="C19" s="42"/>
      <c r="D19" s="42"/>
      <c r="E19" s="10"/>
      <c r="F19" s="10"/>
      <c r="G19" s="10"/>
      <c r="H19" s="52"/>
    </row>
    <row r="20" spans="1:8" ht="12.75" customHeight="1" x14ac:dyDescent="0.25">
      <c r="A20" s="98" t="s">
        <v>75</v>
      </c>
      <c r="B20" s="99"/>
      <c r="C20" s="99"/>
      <c r="D20" s="42"/>
      <c r="E20" s="10"/>
      <c r="F20" s="10"/>
      <c r="G20" s="10"/>
      <c r="H20" s="52"/>
    </row>
    <row r="21" spans="1:8" ht="12.75" customHeight="1" x14ac:dyDescent="0.25">
      <c r="A21" s="100"/>
      <c r="B21" s="99"/>
      <c r="C21" s="99"/>
      <c r="D21" s="42"/>
      <c r="E21" s="10"/>
      <c r="F21" s="10"/>
      <c r="G21" s="10"/>
      <c r="H21" s="52"/>
    </row>
    <row r="22" spans="1:8" ht="12.75" customHeight="1" x14ac:dyDescent="0.3">
      <c r="A22" s="54" t="s">
        <v>84</v>
      </c>
      <c r="B22" s="10"/>
      <c r="C22" s="10"/>
      <c r="D22" s="10"/>
      <c r="E22" s="10"/>
      <c r="F22" s="10"/>
      <c r="G22" s="10"/>
      <c r="H22" s="52"/>
    </row>
    <row r="23" spans="1:8" ht="12.75" customHeight="1" x14ac:dyDescent="0.3">
      <c r="A23" s="90" t="s">
        <v>76</v>
      </c>
      <c r="B23" s="89">
        <v>7</v>
      </c>
      <c r="C23" s="85" t="s">
        <v>81</v>
      </c>
      <c r="D23" s="42"/>
      <c r="E23" s="10"/>
      <c r="F23" s="10"/>
      <c r="G23" s="10"/>
      <c r="H23" s="52"/>
    </row>
    <row r="24" spans="1:8" ht="12.75" customHeight="1" x14ac:dyDescent="0.3">
      <c r="A24" s="90" t="s">
        <v>77</v>
      </c>
      <c r="B24" s="89">
        <v>14</v>
      </c>
      <c r="C24" s="85" t="s">
        <v>82</v>
      </c>
      <c r="D24" s="42"/>
      <c r="E24" s="10"/>
      <c r="F24" s="10"/>
      <c r="G24" s="10"/>
      <c r="H24" s="52"/>
    </row>
    <row r="25" spans="1:8" ht="12.75" customHeight="1" x14ac:dyDescent="0.3">
      <c r="A25" s="90" t="s">
        <v>78</v>
      </c>
      <c r="B25" s="89">
        <v>11</v>
      </c>
      <c r="C25" s="85" t="s">
        <v>83</v>
      </c>
      <c r="D25" s="42"/>
      <c r="E25" s="10"/>
      <c r="F25" s="10"/>
      <c r="G25" s="10"/>
      <c r="H25" s="52"/>
    </row>
    <row r="26" spans="1:8" ht="12.75" customHeight="1" x14ac:dyDescent="0.25">
      <c r="A26" s="90" t="s">
        <v>79</v>
      </c>
      <c r="B26" s="84">
        <f>SUM(B23*B24*B25)</f>
        <v>1078</v>
      </c>
      <c r="C26" s="86"/>
      <c r="D26" s="42"/>
      <c r="E26" s="10"/>
      <c r="F26" s="10"/>
      <c r="G26" s="10"/>
      <c r="H26" s="52"/>
    </row>
    <row r="27" spans="1:8" ht="12.75" customHeight="1" x14ac:dyDescent="0.25">
      <c r="A27" s="90" t="s">
        <v>80</v>
      </c>
      <c r="B27" s="84">
        <f>SUM(B26)*(7.48)</f>
        <v>8063.4400000000005</v>
      </c>
      <c r="C27" s="86"/>
      <c r="D27" s="42"/>
      <c r="E27" s="10"/>
      <c r="F27" s="10"/>
      <c r="G27" s="10"/>
      <c r="H27" s="52"/>
    </row>
    <row r="28" spans="1:8" ht="12.75" customHeight="1" x14ac:dyDescent="0.25">
      <c r="A28" s="82"/>
      <c r="B28" s="83"/>
      <c r="C28" s="42"/>
      <c r="D28" s="42"/>
      <c r="E28" s="10"/>
      <c r="F28" s="10"/>
      <c r="G28" s="10"/>
      <c r="H28" s="52"/>
    </row>
    <row r="29" spans="1:8" ht="12.75" customHeight="1" x14ac:dyDescent="0.3">
      <c r="A29" s="54" t="s">
        <v>85</v>
      </c>
      <c r="B29" s="83"/>
      <c r="C29" s="42"/>
      <c r="D29" s="42"/>
      <c r="E29" s="10"/>
      <c r="F29" s="10"/>
      <c r="G29" s="10"/>
      <c r="H29" s="52"/>
    </row>
    <row r="30" spans="1:8" ht="12.75" customHeight="1" x14ac:dyDescent="0.3">
      <c r="A30" s="90" t="s">
        <v>76</v>
      </c>
      <c r="B30" s="89">
        <v>5</v>
      </c>
      <c r="C30" s="85" t="s">
        <v>81</v>
      </c>
      <c r="D30" s="42"/>
      <c r="E30" s="10"/>
      <c r="F30" s="10"/>
      <c r="G30" s="10"/>
      <c r="H30" s="52"/>
    </row>
    <row r="31" spans="1:8" ht="12.75" customHeight="1" x14ac:dyDescent="0.3">
      <c r="A31" s="90" t="s">
        <v>77</v>
      </c>
      <c r="B31" s="89">
        <v>5</v>
      </c>
      <c r="C31" s="85" t="s">
        <v>82</v>
      </c>
      <c r="D31" s="42"/>
      <c r="E31" s="10"/>
      <c r="F31" s="10"/>
      <c r="G31" s="10"/>
      <c r="H31" s="52"/>
    </row>
    <row r="32" spans="1:8" ht="12.75" customHeight="1" x14ac:dyDescent="0.3">
      <c r="A32" s="90" t="s">
        <v>78</v>
      </c>
      <c r="B32" s="89">
        <v>7</v>
      </c>
      <c r="C32" s="85" t="s">
        <v>83</v>
      </c>
      <c r="D32" s="42"/>
      <c r="E32" s="10"/>
      <c r="F32" s="10"/>
      <c r="G32" s="10"/>
      <c r="H32" s="52"/>
    </row>
    <row r="33" spans="1:8" ht="12.75" customHeight="1" x14ac:dyDescent="0.25">
      <c r="A33" s="90" t="s">
        <v>79</v>
      </c>
      <c r="B33" s="84">
        <f>SUM(B30*B31*B32)</f>
        <v>175</v>
      </c>
      <c r="C33" s="86"/>
      <c r="D33" s="42"/>
      <c r="E33" s="10"/>
      <c r="F33" s="10"/>
      <c r="G33" s="10"/>
      <c r="H33" s="52"/>
    </row>
    <row r="34" spans="1:8" ht="12.75" customHeight="1" x14ac:dyDescent="0.25">
      <c r="A34" s="90" t="s">
        <v>80</v>
      </c>
      <c r="B34" s="84">
        <f>SUM(B33)*(7.48)</f>
        <v>1309</v>
      </c>
      <c r="C34" s="86"/>
      <c r="D34" s="42"/>
      <c r="E34" s="10"/>
      <c r="F34" s="10"/>
      <c r="G34" s="10"/>
      <c r="H34" s="52"/>
    </row>
    <row r="35" spans="1:8" ht="12.75" customHeight="1" x14ac:dyDescent="0.25">
      <c r="A35" s="82"/>
      <c r="B35" s="42"/>
      <c r="C35" s="42"/>
      <c r="D35" s="42"/>
      <c r="E35" s="10"/>
      <c r="F35" s="10"/>
      <c r="G35" s="10"/>
      <c r="H35" s="52"/>
    </row>
    <row r="36" spans="1:8" ht="12.75" customHeight="1" x14ac:dyDescent="0.25">
      <c r="A36" s="91" t="s">
        <v>86</v>
      </c>
      <c r="B36" s="88">
        <f>SUM(B27-B34)</f>
        <v>6754.4400000000005</v>
      </c>
      <c r="C36" s="42"/>
      <c r="D36" s="42"/>
      <c r="E36" s="10"/>
      <c r="F36" s="10"/>
      <c r="G36" s="10"/>
      <c r="H36" s="52"/>
    </row>
    <row r="37" spans="1:8" ht="12.75" customHeight="1" x14ac:dyDescent="0.25">
      <c r="A37" s="82"/>
      <c r="B37" s="42"/>
      <c r="C37" s="42"/>
      <c r="D37" s="42"/>
      <c r="E37" s="10"/>
      <c r="F37" s="10"/>
      <c r="G37" s="10"/>
      <c r="H37" s="52"/>
    </row>
    <row r="38" spans="1:8" x14ac:dyDescent="0.25">
      <c r="A38" s="96" t="s">
        <v>28</v>
      </c>
      <c r="B38" s="97"/>
      <c r="C38" s="97"/>
      <c r="D38" s="10"/>
      <c r="E38" s="10"/>
      <c r="F38" s="10"/>
      <c r="G38" s="10"/>
      <c r="H38" s="52"/>
    </row>
    <row r="39" spans="1:8" x14ac:dyDescent="0.25">
      <c r="A39" s="96"/>
      <c r="B39" s="97"/>
      <c r="C39" s="97"/>
      <c r="D39" s="10"/>
      <c r="E39" s="10"/>
      <c r="F39" s="10"/>
      <c r="G39" s="10"/>
      <c r="H39" s="52"/>
    </row>
    <row r="40" spans="1:8" ht="13" x14ac:dyDescent="0.3">
      <c r="A40" s="116" t="s">
        <v>16</v>
      </c>
      <c r="B40" s="70"/>
      <c r="C40" s="70"/>
      <c r="D40" s="10"/>
      <c r="E40" s="10"/>
      <c r="F40" s="10"/>
      <c r="G40" s="10"/>
      <c r="H40" s="52"/>
    </row>
    <row r="41" spans="1:8" ht="13" x14ac:dyDescent="0.3">
      <c r="A41" s="66" t="s">
        <v>8</v>
      </c>
      <c r="B41" s="2">
        <v>1463</v>
      </c>
      <c r="C41" s="8" t="s">
        <v>9</v>
      </c>
      <c r="D41" s="10"/>
      <c r="E41" s="10"/>
      <c r="F41" s="10"/>
      <c r="G41" s="10"/>
      <c r="H41" s="52"/>
    </row>
    <row r="42" spans="1:8" ht="13" x14ac:dyDescent="0.3">
      <c r="A42" s="66" t="s">
        <v>4</v>
      </c>
      <c r="B42" s="2">
        <v>105</v>
      </c>
      <c r="C42" s="8" t="s">
        <v>6</v>
      </c>
      <c r="D42" s="10"/>
      <c r="E42" s="10"/>
      <c r="F42" s="10"/>
      <c r="G42" s="10"/>
      <c r="H42" s="52"/>
    </row>
    <row r="43" spans="1:8" ht="13" x14ac:dyDescent="0.3">
      <c r="A43" s="66" t="s">
        <v>2</v>
      </c>
      <c r="B43" s="2">
        <v>1</v>
      </c>
      <c r="C43" s="8" t="s">
        <v>3</v>
      </c>
      <c r="D43" s="10"/>
      <c r="E43" s="10"/>
      <c r="F43" s="10"/>
      <c r="G43" s="10"/>
      <c r="H43" s="52"/>
    </row>
    <row r="44" spans="1:8" ht="13" x14ac:dyDescent="0.3">
      <c r="A44" s="66" t="s">
        <v>10</v>
      </c>
      <c r="B44" s="4">
        <v>0.82</v>
      </c>
      <c r="C44" s="8" t="s">
        <v>11</v>
      </c>
      <c r="D44" s="10"/>
      <c r="E44" s="10"/>
      <c r="F44" s="10"/>
      <c r="G44" s="10"/>
      <c r="H44" s="52"/>
    </row>
    <row r="45" spans="1:8" ht="13" x14ac:dyDescent="0.3">
      <c r="A45" s="66" t="s">
        <v>12</v>
      </c>
      <c r="B45" s="4">
        <v>0.95499999999999996</v>
      </c>
      <c r="C45" s="8" t="s">
        <v>13</v>
      </c>
      <c r="D45" s="10"/>
      <c r="E45" s="10"/>
      <c r="F45" s="10"/>
      <c r="G45" s="10"/>
      <c r="H45" s="52"/>
    </row>
    <row r="46" spans="1:8" ht="13" x14ac:dyDescent="0.3">
      <c r="A46" s="66" t="s">
        <v>17</v>
      </c>
      <c r="B46" s="2">
        <v>24</v>
      </c>
      <c r="C46" s="8" t="s">
        <v>18</v>
      </c>
      <c r="D46" s="10"/>
      <c r="E46" s="10"/>
      <c r="F46" s="10"/>
      <c r="G46" s="10"/>
      <c r="H46" s="52"/>
    </row>
    <row r="47" spans="1:8" ht="13" x14ac:dyDescent="0.3">
      <c r="A47" s="66" t="s">
        <v>19</v>
      </c>
      <c r="B47" s="2">
        <v>365</v>
      </c>
      <c r="C47" s="8" t="s">
        <v>20</v>
      </c>
      <c r="D47" s="10"/>
      <c r="E47" s="10"/>
      <c r="F47" s="10"/>
      <c r="G47" s="10"/>
      <c r="H47" s="52"/>
    </row>
    <row r="48" spans="1:8" ht="13" x14ac:dyDescent="0.3">
      <c r="A48" s="66" t="s">
        <v>21</v>
      </c>
      <c r="B48" s="7">
        <v>0.08</v>
      </c>
      <c r="C48" s="8" t="s">
        <v>22</v>
      </c>
      <c r="D48" s="10"/>
      <c r="E48" s="10"/>
      <c r="F48" s="10"/>
      <c r="G48" s="10"/>
      <c r="H48" s="52"/>
    </row>
    <row r="49" spans="1:9" ht="13" x14ac:dyDescent="0.3">
      <c r="A49" s="67" t="s">
        <v>23</v>
      </c>
      <c r="B49" s="78">
        <f>SUM(B41*B42*B43)/(3960)/(B44)/(B45)*(0.746)*(B46*B47*B48)</f>
        <v>25897.279019282345</v>
      </c>
      <c r="C49" s="1" t="s">
        <v>24</v>
      </c>
      <c r="D49" s="10"/>
      <c r="E49" s="10"/>
      <c r="F49" s="10"/>
      <c r="G49" s="10"/>
      <c r="H49" s="52"/>
    </row>
    <row r="50" spans="1:9" x14ac:dyDescent="0.25">
      <c r="A50" s="71"/>
      <c r="B50" s="70"/>
      <c r="C50" s="70"/>
      <c r="D50" s="10"/>
      <c r="E50" s="10"/>
      <c r="F50" s="10"/>
      <c r="G50" s="10"/>
      <c r="H50" s="52"/>
    </row>
    <row r="51" spans="1:9" ht="13" x14ac:dyDescent="0.3">
      <c r="A51" s="116" t="s">
        <v>25</v>
      </c>
      <c r="B51" s="70"/>
      <c r="C51" s="70"/>
      <c r="D51" s="10"/>
      <c r="E51" s="10"/>
      <c r="F51" s="10"/>
      <c r="G51" s="10"/>
      <c r="H51" s="52"/>
    </row>
    <row r="52" spans="1:9" ht="13" x14ac:dyDescent="0.3">
      <c r="A52" s="66" t="s">
        <v>8</v>
      </c>
      <c r="B52" s="2">
        <v>1463</v>
      </c>
      <c r="C52" s="8" t="s">
        <v>9</v>
      </c>
      <c r="D52" s="10"/>
      <c r="E52" s="10"/>
      <c r="F52" s="10"/>
      <c r="G52" s="10"/>
      <c r="H52" s="52"/>
    </row>
    <row r="53" spans="1:9" ht="13" x14ac:dyDescent="0.3">
      <c r="A53" s="66" t="s">
        <v>4</v>
      </c>
      <c r="B53" s="2">
        <v>105</v>
      </c>
      <c r="C53" s="8" t="s">
        <v>6</v>
      </c>
      <c r="D53" s="10"/>
      <c r="E53" s="10"/>
      <c r="F53" s="10"/>
      <c r="G53" s="10"/>
      <c r="H53" s="52"/>
    </row>
    <row r="54" spans="1:9" ht="13" x14ac:dyDescent="0.3">
      <c r="A54" s="66" t="s">
        <v>2</v>
      </c>
      <c r="B54" s="2">
        <v>1</v>
      </c>
      <c r="C54" s="8" t="s">
        <v>3</v>
      </c>
      <c r="D54" s="10"/>
      <c r="E54" s="10"/>
      <c r="F54" s="10"/>
      <c r="G54" s="10"/>
      <c r="H54" s="52"/>
    </row>
    <row r="55" spans="1:9" ht="13" x14ac:dyDescent="0.3">
      <c r="A55" s="66" t="s">
        <v>10</v>
      </c>
      <c r="B55" s="4">
        <v>0.87</v>
      </c>
      <c r="C55" s="8" t="s">
        <v>11</v>
      </c>
      <c r="D55" s="10"/>
      <c r="E55" s="10"/>
      <c r="F55" s="10"/>
      <c r="G55" s="10"/>
      <c r="H55" s="52"/>
    </row>
    <row r="56" spans="1:9" ht="13" x14ac:dyDescent="0.3">
      <c r="A56" s="66" t="s">
        <v>12</v>
      </c>
      <c r="B56" s="4">
        <v>0.95499999999999996</v>
      </c>
      <c r="C56" s="8" t="s">
        <v>13</v>
      </c>
      <c r="D56" s="10"/>
      <c r="E56" s="10"/>
      <c r="F56" s="10"/>
      <c r="G56" s="10"/>
      <c r="H56" s="52"/>
    </row>
    <row r="57" spans="1:9" ht="13" x14ac:dyDescent="0.3">
      <c r="A57" s="66" t="s">
        <v>17</v>
      </c>
      <c r="B57" s="2">
        <v>24</v>
      </c>
      <c r="C57" s="8" t="s">
        <v>18</v>
      </c>
      <c r="D57" s="10"/>
      <c r="E57" s="10"/>
      <c r="F57" s="10"/>
      <c r="G57" s="10"/>
      <c r="H57" s="52"/>
    </row>
    <row r="58" spans="1:9" ht="13" x14ac:dyDescent="0.3">
      <c r="A58" s="66" t="s">
        <v>19</v>
      </c>
      <c r="B58" s="2">
        <v>365</v>
      </c>
      <c r="C58" s="8" t="s">
        <v>20</v>
      </c>
      <c r="D58" s="10"/>
      <c r="E58" s="10"/>
      <c r="F58" s="10"/>
      <c r="G58" s="10"/>
      <c r="H58" s="52"/>
    </row>
    <row r="59" spans="1:9" ht="13" x14ac:dyDescent="0.3">
      <c r="A59" s="66" t="s">
        <v>21</v>
      </c>
      <c r="B59" s="7">
        <v>0.08</v>
      </c>
      <c r="C59" s="8" t="s">
        <v>22</v>
      </c>
      <c r="D59" s="10"/>
      <c r="E59" s="10"/>
      <c r="F59" s="10"/>
      <c r="G59" s="10"/>
      <c r="H59" s="52"/>
    </row>
    <row r="60" spans="1:9" ht="13" x14ac:dyDescent="0.3">
      <c r="A60" s="67" t="s">
        <v>23</v>
      </c>
      <c r="B60" s="78">
        <f>SUM(B52*B53*B54)/(3960)/(B55)/(B56)*(0.746)*(B57*B58*B59)</f>
        <v>24408.92965035807</v>
      </c>
      <c r="C60" s="1" t="s">
        <v>24</v>
      </c>
      <c r="D60" s="10"/>
      <c r="E60" s="10"/>
      <c r="F60" s="10"/>
      <c r="G60" s="10"/>
      <c r="H60" s="52"/>
    </row>
    <row r="61" spans="1:9" x14ac:dyDescent="0.25">
      <c r="A61" s="71"/>
      <c r="B61" s="70"/>
      <c r="C61" s="70"/>
      <c r="D61" s="10"/>
      <c r="E61" s="10"/>
      <c r="F61" s="10"/>
      <c r="G61" s="10"/>
      <c r="H61" s="52"/>
    </row>
    <row r="62" spans="1:9" ht="13.5" thickBot="1" x14ac:dyDescent="0.35">
      <c r="A62" s="117" t="s">
        <v>26</v>
      </c>
      <c r="B62" s="92">
        <f>SUM(B49-B60)</f>
        <v>1488.349368924275</v>
      </c>
      <c r="C62" s="93"/>
      <c r="D62" s="57"/>
      <c r="E62" s="57"/>
      <c r="F62" s="57"/>
      <c r="G62" s="57"/>
      <c r="H62" s="58"/>
    </row>
    <row r="63" spans="1:9" x14ac:dyDescent="0.25">
      <c r="A63" s="46"/>
      <c r="B63" s="46"/>
      <c r="C63" s="46"/>
      <c r="D63" s="46"/>
      <c r="E63" s="46"/>
      <c r="F63" s="46"/>
      <c r="G63" s="46"/>
      <c r="H63" s="46"/>
      <c r="I63" s="23"/>
    </row>
    <row r="64" spans="1:9" x14ac:dyDescent="0.25">
      <c r="A64" s="46"/>
      <c r="B64" s="46"/>
      <c r="C64" s="46"/>
      <c r="D64" s="46"/>
      <c r="E64" s="46"/>
      <c r="F64" s="46"/>
      <c r="G64" s="46"/>
      <c r="H64" s="46"/>
      <c r="I64" s="23"/>
    </row>
    <row r="65" spans="1:9" s="47" customFormat="1" x14ac:dyDescent="0.25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7" customFormat="1" x14ac:dyDescent="0.25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7" customFormat="1" x14ac:dyDescent="0.25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7" customFormat="1" x14ac:dyDescent="0.25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7" customFormat="1" x14ac:dyDescent="0.25">
      <c r="A69" s="46"/>
      <c r="B69" s="46"/>
      <c r="C69" s="46"/>
      <c r="D69" s="46"/>
      <c r="E69" s="46"/>
      <c r="F69" s="46"/>
      <c r="G69" s="46"/>
      <c r="H69" s="46"/>
      <c r="I69" s="46"/>
    </row>
    <row r="70" spans="1:9" x14ac:dyDescent="0.25">
      <c r="A70" s="46"/>
      <c r="B70" s="46"/>
      <c r="C70" s="46"/>
      <c r="D70" s="23"/>
      <c r="E70" s="23"/>
      <c r="F70" s="23"/>
      <c r="G70" s="23"/>
      <c r="H70" s="23"/>
      <c r="I70" s="23"/>
    </row>
    <row r="71" spans="1:9" x14ac:dyDescent="0.25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5">
      <c r="A76" s="23"/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23"/>
      <c r="B77" s="23"/>
      <c r="C77" s="23"/>
      <c r="D77" s="23"/>
      <c r="E77" s="23"/>
      <c r="F77" s="23"/>
      <c r="G77" s="23"/>
      <c r="H77" s="23"/>
      <c r="I77" s="23"/>
    </row>
    <row r="78" spans="1:9" x14ac:dyDescent="0.25">
      <c r="A78" s="23"/>
      <c r="B78" s="23"/>
      <c r="C78" s="23"/>
      <c r="D78" s="23"/>
      <c r="E78" s="23"/>
      <c r="F78" s="23"/>
      <c r="G78" s="23"/>
      <c r="H78" s="23"/>
      <c r="I78" s="23"/>
    </row>
    <row r="79" spans="1:9" x14ac:dyDescent="0.25">
      <c r="A79" s="23"/>
      <c r="B79" s="23"/>
      <c r="C79" s="23"/>
      <c r="D79" s="23"/>
      <c r="E79" s="23"/>
      <c r="F79" s="23"/>
      <c r="G79" s="23"/>
      <c r="H79" s="23"/>
      <c r="I79" s="23"/>
    </row>
    <row r="80" spans="1:9" x14ac:dyDescent="0.25">
      <c r="A80" s="23"/>
      <c r="B80" s="23"/>
      <c r="C80" s="23"/>
      <c r="D80" s="23"/>
      <c r="E80" s="23"/>
      <c r="F80" s="23"/>
      <c r="G80" s="23"/>
      <c r="H80" s="23"/>
      <c r="I80" s="23"/>
    </row>
    <row r="81" spans="1:9" x14ac:dyDescent="0.25">
      <c r="A81" s="23"/>
      <c r="B81" s="23"/>
      <c r="C81" s="23"/>
      <c r="D81" s="23"/>
      <c r="E81" s="23"/>
      <c r="F81" s="23"/>
      <c r="G81" s="23"/>
      <c r="H81" s="23"/>
      <c r="I81" s="23"/>
    </row>
    <row r="82" spans="1:9" x14ac:dyDescent="0.25">
      <c r="A82" s="23"/>
      <c r="B82" s="23"/>
      <c r="C82" s="23"/>
      <c r="D82" s="23"/>
      <c r="E82" s="23"/>
      <c r="F82" s="23"/>
      <c r="G82" s="23"/>
      <c r="H82" s="23"/>
      <c r="I82" s="23"/>
    </row>
    <row r="83" spans="1:9" x14ac:dyDescent="0.25">
      <c r="A83" s="23"/>
      <c r="B83" s="23"/>
      <c r="C83" s="23"/>
      <c r="D83" s="23"/>
      <c r="E83" s="23"/>
      <c r="F83" s="23"/>
      <c r="G83" s="23"/>
      <c r="H83" s="23"/>
      <c r="I83" s="23"/>
    </row>
    <row r="84" spans="1:9" x14ac:dyDescent="0.25">
      <c r="A84" s="23"/>
      <c r="B84" s="23"/>
      <c r="C84" s="23"/>
      <c r="D84" s="23"/>
      <c r="E84" s="23"/>
      <c r="F84" s="23"/>
      <c r="G84" s="23"/>
      <c r="H84" s="23"/>
      <c r="I84" s="23"/>
    </row>
    <row r="85" spans="1:9" x14ac:dyDescent="0.25">
      <c r="A85" s="23"/>
      <c r="B85" s="23"/>
      <c r="C85" s="23"/>
      <c r="D85" s="23"/>
      <c r="E85" s="23"/>
      <c r="F85" s="23"/>
      <c r="G85" s="23"/>
      <c r="H85" s="23"/>
      <c r="I85" s="23"/>
    </row>
    <row r="86" spans="1:9" x14ac:dyDescent="0.25">
      <c r="A86" s="23"/>
      <c r="B86" s="23"/>
      <c r="C86" s="23"/>
      <c r="D86" s="23"/>
      <c r="E86" s="23"/>
      <c r="F86" s="23"/>
      <c r="G86" s="23"/>
      <c r="H86" s="23"/>
      <c r="I86" s="23"/>
    </row>
    <row r="87" spans="1:9" x14ac:dyDescent="0.25">
      <c r="A87" s="23"/>
      <c r="B87" s="23"/>
      <c r="C87" s="23"/>
      <c r="D87" s="23"/>
      <c r="E87" s="23"/>
      <c r="F87" s="23"/>
      <c r="G87" s="23"/>
      <c r="H87" s="23"/>
      <c r="I87" s="23"/>
    </row>
    <row r="88" spans="1:9" x14ac:dyDescent="0.25">
      <c r="A88" s="23"/>
      <c r="B88" s="23"/>
      <c r="C88" s="23"/>
      <c r="D88" s="23"/>
      <c r="E88" s="23"/>
      <c r="F88" s="23"/>
      <c r="G88" s="23"/>
      <c r="H88" s="23"/>
      <c r="I88" s="23"/>
    </row>
    <row r="89" spans="1:9" x14ac:dyDescent="0.25">
      <c r="A89" s="23"/>
      <c r="B89" s="23"/>
      <c r="C89" s="23"/>
      <c r="D89" s="23"/>
      <c r="E89" s="23"/>
      <c r="F89" s="23"/>
      <c r="G89" s="23"/>
      <c r="H89" s="23"/>
      <c r="I89" s="23"/>
    </row>
    <row r="90" spans="1:9" x14ac:dyDescent="0.25">
      <c r="A90" s="23"/>
      <c r="B90" s="23"/>
      <c r="C90" s="23"/>
      <c r="D90" s="23"/>
      <c r="E90" s="23"/>
      <c r="F90" s="23"/>
      <c r="G90" s="23"/>
      <c r="H90" s="23"/>
      <c r="I90" s="23"/>
    </row>
    <row r="91" spans="1:9" x14ac:dyDescent="0.25">
      <c r="A91" s="23"/>
      <c r="B91" s="23"/>
      <c r="C91" s="23"/>
      <c r="D91" s="23"/>
      <c r="E91" s="23"/>
      <c r="F91" s="23"/>
      <c r="G91" s="23"/>
      <c r="H91" s="23"/>
      <c r="I91" s="23"/>
    </row>
    <row r="92" spans="1:9" x14ac:dyDescent="0.25">
      <c r="A92" s="23"/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3"/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3"/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3"/>
      <c r="B95" s="23"/>
      <c r="C95" s="23"/>
      <c r="D95" s="23"/>
      <c r="E95" s="23"/>
      <c r="F95" s="23"/>
      <c r="G95" s="23"/>
      <c r="H95" s="23"/>
      <c r="I95" s="23"/>
    </row>
    <row r="96" spans="1:9" x14ac:dyDescent="0.25">
      <c r="A96" s="23"/>
      <c r="B96" s="23"/>
      <c r="C96" s="23"/>
      <c r="D96" s="23"/>
      <c r="E96" s="23"/>
      <c r="F96" s="23"/>
      <c r="G96" s="23"/>
      <c r="H96" s="23"/>
      <c r="I96" s="23"/>
    </row>
    <row r="97" spans="1:9" x14ac:dyDescent="0.25">
      <c r="A97" s="23"/>
      <c r="B97" s="23"/>
      <c r="C97" s="23"/>
      <c r="D97" s="23"/>
      <c r="E97" s="23"/>
      <c r="F97" s="23"/>
      <c r="G97" s="23"/>
      <c r="H97" s="23"/>
      <c r="I97" s="23"/>
    </row>
    <row r="98" spans="1:9" x14ac:dyDescent="0.25">
      <c r="A98" s="23"/>
      <c r="B98" s="23"/>
      <c r="C98" s="23"/>
      <c r="D98" s="23"/>
      <c r="E98" s="23"/>
      <c r="F98" s="23"/>
      <c r="G98" s="23"/>
      <c r="H98" s="23"/>
      <c r="I98" s="23"/>
    </row>
    <row r="99" spans="1:9" x14ac:dyDescent="0.25">
      <c r="A99" s="23"/>
      <c r="B99" s="23"/>
      <c r="C99" s="23"/>
      <c r="D99" s="23"/>
      <c r="E99" s="23"/>
      <c r="F99" s="23"/>
      <c r="G99" s="23"/>
      <c r="H99" s="23"/>
      <c r="I99" s="23"/>
    </row>
    <row r="100" spans="1:9" x14ac:dyDescent="0.2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x14ac:dyDescent="0.2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x14ac:dyDescent="0.2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x14ac:dyDescent="0.2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x14ac:dyDescent="0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x14ac:dyDescent="0.2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x14ac:dyDescent="0.2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x14ac:dyDescent="0.2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x14ac:dyDescent="0.2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x14ac:dyDescent="0.2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x14ac:dyDescent="0.2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x14ac:dyDescent="0.2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x14ac:dyDescent="0.2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x14ac:dyDescent="0.25">
      <c r="A113" s="23"/>
      <c r="B113" s="23"/>
      <c r="C113" s="23"/>
      <c r="D113" s="23"/>
      <c r="E113" s="23"/>
      <c r="F113" s="23"/>
      <c r="G113" s="23"/>
      <c r="H113" s="23"/>
      <c r="I113" s="23"/>
    </row>
  </sheetData>
  <sheetProtection algorithmName="SHA-512" hashValue="zqXS0Vo/3TKixR6hyeOcwoeOIbwBdr+4k70ckmZvYX8kUcVhcRlN6Go/AZFV0dzJCZOC6xfGMmK8HTFPv2nuWA==" saltValue="UFvq9q+orFxuaeK4SD67YQ==" spinCount="100000" sheet="1" objects="1" scenarios="1"/>
  <mergeCells count="3">
    <mergeCell ref="A1:C2"/>
    <mergeCell ref="A38:C39"/>
    <mergeCell ref="A20:C21"/>
  </mergeCells>
  <phoneticPr fontId="0" type="noConversion"/>
  <pageMargins left="0.95" right="0.45" top="0.75" bottom="0.75" header="0.5" footer="0.5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="80" zoomScaleNormal="80" workbookViewId="0">
      <selection activeCell="P7" sqref="P7"/>
    </sheetView>
  </sheetViews>
  <sheetFormatPr defaultRowHeight="12.5" x14ac:dyDescent="0.25"/>
  <sheetData/>
  <pageMargins left="0.2" right="0.2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N40"/>
  <sheetViews>
    <sheetView zoomScaleNormal="100" workbookViewId="0">
      <selection activeCell="B5" sqref="B5"/>
    </sheetView>
  </sheetViews>
  <sheetFormatPr defaultRowHeight="12.5" x14ac:dyDescent="0.25"/>
  <cols>
    <col min="1" max="1" width="17.1796875" customWidth="1"/>
    <col min="2" max="2" width="11.7265625" customWidth="1"/>
    <col min="13" max="14" width="9.1796875" style="47"/>
  </cols>
  <sheetData>
    <row r="1" spans="1:14" ht="8.15" customHeight="1" x14ac:dyDescent="0.2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46"/>
      <c r="N1" s="46"/>
    </row>
    <row r="2" spans="1:14" ht="18" x14ac:dyDescent="0.4">
      <c r="A2" s="51" t="s">
        <v>29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52"/>
      <c r="M2" s="46"/>
      <c r="N2" s="46"/>
    </row>
    <row r="3" spans="1:14" x14ac:dyDescent="0.25">
      <c r="A3" s="53"/>
      <c r="B3" s="10"/>
      <c r="C3" s="10"/>
      <c r="D3" s="10"/>
      <c r="E3" s="10"/>
      <c r="F3" s="10"/>
      <c r="G3" s="10"/>
      <c r="H3" s="10"/>
      <c r="I3" s="10"/>
      <c r="J3" s="10"/>
      <c r="K3" s="10"/>
      <c r="L3" s="52"/>
      <c r="M3" s="46"/>
      <c r="N3" s="46"/>
    </row>
    <row r="4" spans="1:14" ht="14" x14ac:dyDescent="0.3">
      <c r="A4" s="54" t="s">
        <v>69</v>
      </c>
      <c r="B4" s="11"/>
      <c r="C4" s="11"/>
      <c r="D4" s="11"/>
      <c r="E4" s="11"/>
      <c r="F4" s="10"/>
      <c r="G4" s="10"/>
      <c r="H4" s="10"/>
      <c r="I4" s="10"/>
      <c r="J4" s="10"/>
      <c r="K4" s="10"/>
      <c r="L4" s="52"/>
      <c r="M4" s="46"/>
      <c r="N4" s="46"/>
    </row>
    <row r="5" spans="1:14" ht="14" x14ac:dyDescent="0.3">
      <c r="A5" s="127" t="s">
        <v>51</v>
      </c>
      <c r="B5" s="13">
        <v>1800</v>
      </c>
      <c r="C5" s="10"/>
      <c r="D5" s="10"/>
      <c r="E5" s="10"/>
      <c r="F5" s="10"/>
      <c r="G5" s="10"/>
      <c r="H5" s="10"/>
      <c r="I5" s="10"/>
      <c r="J5" s="10"/>
      <c r="K5" s="10"/>
      <c r="L5" s="52"/>
      <c r="M5" s="46"/>
      <c r="N5" s="46"/>
    </row>
    <row r="6" spans="1:14" ht="14" x14ac:dyDescent="0.3">
      <c r="A6" s="128" t="s">
        <v>52</v>
      </c>
      <c r="B6" s="14">
        <v>60</v>
      </c>
      <c r="C6" s="10"/>
      <c r="D6" s="10"/>
      <c r="E6" s="10"/>
      <c r="F6" s="10"/>
      <c r="G6" s="10"/>
      <c r="H6" s="10"/>
      <c r="I6" s="10"/>
      <c r="J6" s="10"/>
      <c r="K6" s="10"/>
      <c r="L6" s="52"/>
      <c r="M6" s="46"/>
      <c r="N6" s="46"/>
    </row>
    <row r="7" spans="1:14" ht="14" x14ac:dyDescent="0.3">
      <c r="A7" s="128" t="s">
        <v>53</v>
      </c>
      <c r="B7" s="72">
        <v>300</v>
      </c>
      <c r="C7" s="10"/>
      <c r="D7" s="10"/>
      <c r="E7" s="10"/>
      <c r="F7" s="10"/>
      <c r="G7" s="10"/>
      <c r="H7" s="10"/>
      <c r="I7" s="10"/>
      <c r="J7" s="10"/>
      <c r="K7" s="10"/>
      <c r="L7" s="52"/>
      <c r="M7" s="46"/>
      <c r="N7" s="46"/>
    </row>
    <row r="8" spans="1:14" ht="8.15" customHeight="1" x14ac:dyDescent="0.3">
      <c r="A8" s="128"/>
      <c r="B8" s="14"/>
      <c r="C8" s="10"/>
      <c r="D8" s="10"/>
      <c r="E8" s="10"/>
      <c r="F8" s="10"/>
      <c r="G8" s="10"/>
      <c r="H8" s="10"/>
      <c r="I8" s="10"/>
      <c r="J8" s="10"/>
      <c r="K8" s="10"/>
      <c r="L8" s="52"/>
      <c r="M8" s="46"/>
      <c r="N8" s="46"/>
    </row>
    <row r="9" spans="1:14" ht="14" x14ac:dyDescent="0.3">
      <c r="A9" s="128" t="s">
        <v>55</v>
      </c>
      <c r="B9" s="79">
        <v>30</v>
      </c>
      <c r="C9" s="10"/>
      <c r="D9" s="76"/>
      <c r="E9" s="76"/>
      <c r="F9" s="10"/>
      <c r="G9" s="10"/>
      <c r="H9" s="10"/>
      <c r="I9" s="10"/>
      <c r="J9" s="10"/>
      <c r="K9" s="10"/>
      <c r="L9" s="52"/>
      <c r="M9" s="46"/>
      <c r="N9" s="46"/>
    </row>
    <row r="10" spans="1:14" ht="14" x14ac:dyDescent="0.3">
      <c r="A10" s="128" t="s">
        <v>54</v>
      </c>
      <c r="B10" s="119">
        <f>SUM(B9/B6)*(B5)</f>
        <v>900</v>
      </c>
      <c r="C10" s="10"/>
      <c r="D10" s="10"/>
      <c r="E10" s="10"/>
      <c r="F10" s="10"/>
      <c r="G10" s="10"/>
      <c r="H10" s="10"/>
      <c r="I10" s="10"/>
      <c r="J10" s="10"/>
      <c r="K10" s="10"/>
      <c r="L10" s="52"/>
      <c r="M10" s="46"/>
      <c r="N10" s="46"/>
    </row>
    <row r="11" spans="1:14" ht="14" x14ac:dyDescent="0.3">
      <c r="A11" s="129" t="s">
        <v>56</v>
      </c>
      <c r="B11" s="120">
        <f>SUM(B7*B10)/B5</f>
        <v>150</v>
      </c>
      <c r="C11" s="12"/>
      <c r="D11" s="10"/>
      <c r="E11" s="10"/>
      <c r="F11" s="10"/>
      <c r="G11" s="10"/>
      <c r="H11" s="10"/>
      <c r="I11" s="10"/>
      <c r="J11" s="10"/>
      <c r="K11" s="10"/>
      <c r="L11" s="52"/>
      <c r="M11" s="46"/>
      <c r="N11" s="46"/>
    </row>
    <row r="12" spans="1:14" x14ac:dyDescent="0.25">
      <c r="A12" s="5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2"/>
      <c r="M12" s="46"/>
      <c r="N12" s="46"/>
    </row>
    <row r="13" spans="1:14" ht="14" x14ac:dyDescent="0.3">
      <c r="A13" s="54" t="s">
        <v>70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2"/>
      <c r="M13" s="46"/>
      <c r="N13" s="46"/>
    </row>
    <row r="14" spans="1:14" ht="14" x14ac:dyDescent="0.3">
      <c r="A14" s="127" t="s">
        <v>51</v>
      </c>
      <c r="B14" s="13">
        <v>1800</v>
      </c>
      <c r="C14" s="10"/>
      <c r="D14" s="10"/>
      <c r="E14" s="10"/>
      <c r="F14" s="10"/>
      <c r="G14" s="10"/>
      <c r="H14" s="10"/>
      <c r="I14" s="10"/>
      <c r="J14" s="10"/>
      <c r="K14" s="10"/>
      <c r="L14" s="52"/>
      <c r="M14" s="46"/>
      <c r="N14" s="46"/>
    </row>
    <row r="15" spans="1:14" ht="14" x14ac:dyDescent="0.3">
      <c r="A15" s="128" t="s">
        <v>52</v>
      </c>
      <c r="B15" s="14">
        <v>60</v>
      </c>
      <c r="C15" s="10"/>
      <c r="D15" s="10"/>
      <c r="E15" s="10"/>
      <c r="F15" s="10"/>
      <c r="G15" s="10"/>
      <c r="H15" s="10"/>
      <c r="I15" s="10"/>
      <c r="J15" s="10"/>
      <c r="K15" s="10"/>
      <c r="L15" s="52"/>
      <c r="M15" s="46"/>
      <c r="N15" s="46"/>
    </row>
    <row r="16" spans="1:14" ht="14" x14ac:dyDescent="0.3">
      <c r="A16" s="128" t="s">
        <v>42</v>
      </c>
      <c r="B16" s="34">
        <v>100</v>
      </c>
      <c r="C16" s="10"/>
      <c r="D16" s="10"/>
      <c r="E16" s="10"/>
      <c r="F16" s="10"/>
      <c r="G16" s="10"/>
      <c r="H16" s="10"/>
      <c r="I16" s="10"/>
      <c r="J16" s="10"/>
      <c r="K16" s="10"/>
      <c r="L16" s="52"/>
      <c r="M16" s="46"/>
      <c r="N16" s="46"/>
    </row>
    <row r="17" spans="1:14" ht="14" x14ac:dyDescent="0.3">
      <c r="A17" s="128" t="s">
        <v>43</v>
      </c>
      <c r="B17" s="37">
        <f>SUM(B16/2.31)</f>
        <v>43.290043290043286</v>
      </c>
      <c r="C17" s="10"/>
      <c r="D17" s="10"/>
      <c r="E17" s="10"/>
      <c r="F17" s="10"/>
      <c r="G17" s="10"/>
      <c r="H17" s="10"/>
      <c r="I17" s="10"/>
      <c r="J17" s="10"/>
      <c r="K17" s="10"/>
      <c r="L17" s="52"/>
      <c r="M17" s="46"/>
      <c r="N17" s="46"/>
    </row>
    <row r="18" spans="1:14" ht="8.15" customHeight="1" x14ac:dyDescent="0.3">
      <c r="A18" s="128"/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52"/>
      <c r="M18" s="46"/>
      <c r="N18" s="46"/>
    </row>
    <row r="19" spans="1:14" ht="14" x14ac:dyDescent="0.3">
      <c r="A19" s="128" t="s">
        <v>58</v>
      </c>
      <c r="B19" s="79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52"/>
      <c r="M19" s="46"/>
      <c r="N19" s="46"/>
    </row>
    <row r="20" spans="1:14" ht="14" x14ac:dyDescent="0.3">
      <c r="A20" s="128" t="s">
        <v>57</v>
      </c>
      <c r="B20" s="80">
        <f>SUM(B19/B15)*(B14)</f>
        <v>900</v>
      </c>
      <c r="C20" s="10"/>
      <c r="D20" s="76"/>
      <c r="E20" s="76"/>
      <c r="F20" s="10"/>
      <c r="G20" s="10"/>
      <c r="H20" s="10"/>
      <c r="I20" s="10"/>
      <c r="J20" s="10"/>
      <c r="K20" s="10"/>
      <c r="L20" s="52"/>
      <c r="M20" s="46"/>
      <c r="N20" s="46"/>
    </row>
    <row r="21" spans="1:14" ht="14" x14ac:dyDescent="0.3">
      <c r="A21" s="128" t="s">
        <v>44</v>
      </c>
      <c r="B21" s="121">
        <f>SUM(B16/C21)</f>
        <v>25</v>
      </c>
      <c r="C21" s="12">
        <f>POWER(B14/B20,2)</f>
        <v>4</v>
      </c>
      <c r="D21" s="42"/>
      <c r="E21" s="42"/>
      <c r="F21" s="10"/>
      <c r="G21" s="10"/>
      <c r="H21" s="10"/>
      <c r="I21" s="10"/>
      <c r="J21" s="10"/>
      <c r="K21" s="10"/>
      <c r="L21" s="52"/>
      <c r="M21" s="46"/>
      <c r="N21" s="46"/>
    </row>
    <row r="22" spans="1:14" ht="14" x14ac:dyDescent="0.3">
      <c r="A22" s="129" t="s">
        <v>45</v>
      </c>
      <c r="B22" s="118">
        <f>SUM(B21/2.31)</f>
        <v>10.822510822510822</v>
      </c>
      <c r="C22" s="12"/>
      <c r="D22" s="32"/>
      <c r="E22" s="31"/>
      <c r="F22" s="10"/>
      <c r="G22" s="10"/>
      <c r="H22" s="10"/>
      <c r="I22" s="10"/>
      <c r="J22" s="10"/>
      <c r="K22" s="10"/>
      <c r="L22" s="52"/>
      <c r="M22" s="46"/>
      <c r="N22" s="46"/>
    </row>
    <row r="23" spans="1:14" x14ac:dyDescent="0.25">
      <c r="A23" s="5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52"/>
      <c r="M23" s="46"/>
      <c r="N23" s="46"/>
    </row>
    <row r="24" spans="1:14" ht="14" x14ac:dyDescent="0.3">
      <c r="A24" s="54" t="s">
        <v>71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52"/>
      <c r="M24" s="46"/>
      <c r="N24" s="46"/>
    </row>
    <row r="25" spans="1:14" ht="14" x14ac:dyDescent="0.3">
      <c r="A25" s="127" t="s">
        <v>51</v>
      </c>
      <c r="B25" s="75">
        <f>B5</f>
        <v>1800</v>
      </c>
      <c r="C25" s="10"/>
      <c r="D25" s="10"/>
      <c r="E25" s="10"/>
      <c r="F25" s="10"/>
      <c r="G25" s="10"/>
      <c r="H25" s="10"/>
      <c r="I25" s="10"/>
      <c r="J25" s="10"/>
      <c r="K25" s="10"/>
      <c r="L25" s="52"/>
      <c r="M25" s="46"/>
      <c r="N25" s="46"/>
    </row>
    <row r="26" spans="1:14" ht="14" x14ac:dyDescent="0.3">
      <c r="A26" s="128" t="s">
        <v>59</v>
      </c>
      <c r="B26" s="35">
        <v>0.95</v>
      </c>
      <c r="C26" s="10"/>
      <c r="D26" s="10"/>
      <c r="E26" s="10"/>
      <c r="F26" s="10"/>
      <c r="G26" s="10"/>
      <c r="H26" s="10"/>
      <c r="I26" s="10"/>
      <c r="J26" s="10"/>
      <c r="K26" s="10"/>
      <c r="L26" s="52"/>
      <c r="M26" s="46"/>
      <c r="N26" s="46"/>
    </row>
    <row r="27" spans="1:14" ht="14" x14ac:dyDescent="0.3">
      <c r="A27" s="128" t="s">
        <v>47</v>
      </c>
      <c r="B27" s="34">
        <v>50</v>
      </c>
      <c r="C27" s="10"/>
      <c r="D27" s="10"/>
      <c r="E27" s="10"/>
      <c r="F27" s="10"/>
      <c r="G27" s="10"/>
      <c r="H27" s="10"/>
      <c r="I27" s="10"/>
      <c r="J27" s="10"/>
      <c r="K27" s="10"/>
      <c r="L27" s="52"/>
      <c r="M27" s="46"/>
      <c r="N27" s="46"/>
    </row>
    <row r="28" spans="1:14" ht="14" x14ac:dyDescent="0.3">
      <c r="A28" s="128" t="s">
        <v>60</v>
      </c>
      <c r="B28" s="37">
        <f>SUM(B27)*(0.746)/(B26)</f>
        <v>39.263157894736842</v>
      </c>
      <c r="C28" s="10"/>
      <c r="D28" s="10"/>
      <c r="E28" s="10"/>
      <c r="F28" s="10"/>
      <c r="G28" s="10"/>
      <c r="H28" s="10"/>
      <c r="I28" s="10"/>
      <c r="J28" s="10"/>
      <c r="K28" s="10"/>
      <c r="L28" s="52"/>
      <c r="M28" s="46"/>
      <c r="N28" s="46"/>
    </row>
    <row r="29" spans="1:14" ht="8.15" customHeight="1" x14ac:dyDescent="0.3">
      <c r="A29" s="128"/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52"/>
      <c r="M29" s="46"/>
      <c r="N29" s="46"/>
    </row>
    <row r="30" spans="1:14" ht="14" x14ac:dyDescent="0.3">
      <c r="A30" s="128" t="s">
        <v>57</v>
      </c>
      <c r="B30" s="73">
        <f>B10</f>
        <v>900</v>
      </c>
      <c r="C30" s="10"/>
      <c r="D30" s="10"/>
      <c r="E30" s="10"/>
      <c r="F30" s="10"/>
      <c r="G30" s="10"/>
      <c r="H30" s="10"/>
      <c r="I30" s="10"/>
      <c r="J30" s="10"/>
      <c r="K30" s="10"/>
      <c r="L30" s="52"/>
      <c r="M30" s="46"/>
      <c r="N30" s="46"/>
    </row>
    <row r="31" spans="1:14" ht="14" x14ac:dyDescent="0.3">
      <c r="A31" s="128" t="s">
        <v>59</v>
      </c>
      <c r="B31" s="74">
        <f>B26</f>
        <v>0.95</v>
      </c>
      <c r="C31" s="10"/>
      <c r="D31" s="10"/>
      <c r="E31" s="10"/>
      <c r="F31" s="10"/>
      <c r="G31" s="10"/>
      <c r="H31" s="10"/>
      <c r="I31" s="10"/>
      <c r="J31" s="10"/>
      <c r="K31" s="10"/>
      <c r="L31" s="52"/>
      <c r="M31" s="46"/>
      <c r="N31" s="46"/>
    </row>
    <row r="32" spans="1:14" ht="14" x14ac:dyDescent="0.3">
      <c r="A32" s="130" t="s">
        <v>46</v>
      </c>
      <c r="B32" s="144">
        <f>SUM(B27/C32)</f>
        <v>6.25</v>
      </c>
      <c r="C32" s="12">
        <f>POWER(B25/B30,3)</f>
        <v>8</v>
      </c>
      <c r="D32" s="10"/>
      <c r="E32" s="10"/>
      <c r="F32" s="10"/>
      <c r="G32" s="10"/>
      <c r="H32" s="10"/>
      <c r="I32" s="10"/>
      <c r="J32" s="10"/>
      <c r="K32" s="10"/>
      <c r="L32" s="52"/>
      <c r="M32" s="46"/>
      <c r="N32" s="46"/>
    </row>
    <row r="33" spans="1:14" ht="14" x14ac:dyDescent="0.3">
      <c r="A33" s="131" t="s">
        <v>61</v>
      </c>
      <c r="B33" s="118">
        <f>SUM(B32)*(0.746)/(B31)</f>
        <v>4.9078947368421053</v>
      </c>
      <c r="C33" s="10"/>
      <c r="D33" s="10"/>
      <c r="E33" s="10"/>
      <c r="F33" s="10"/>
      <c r="G33" s="10"/>
      <c r="H33" s="10"/>
      <c r="I33" s="10"/>
      <c r="J33" s="10"/>
      <c r="K33" s="10"/>
      <c r="L33" s="52"/>
      <c r="M33" s="46"/>
      <c r="N33" s="46"/>
    </row>
    <row r="34" spans="1:14" ht="9" customHeight="1" x14ac:dyDescent="0.3">
      <c r="A34" s="63"/>
      <c r="B34" s="43"/>
      <c r="C34" s="10"/>
      <c r="D34" s="10"/>
      <c r="E34" s="10"/>
      <c r="F34" s="10"/>
      <c r="G34" s="10"/>
      <c r="H34" s="10"/>
      <c r="I34" s="10"/>
      <c r="J34" s="10"/>
      <c r="K34" s="10"/>
      <c r="L34" s="52"/>
      <c r="M34" s="46"/>
      <c r="N34" s="46"/>
    </row>
    <row r="35" spans="1:14" ht="9" customHeight="1" x14ac:dyDescent="0.25">
      <c r="A35" s="5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2"/>
      <c r="M35" s="46"/>
      <c r="N35" s="46"/>
    </row>
    <row r="36" spans="1:14" ht="14" x14ac:dyDescent="0.3">
      <c r="A36" s="132" t="s">
        <v>63</v>
      </c>
      <c r="B36" s="41">
        <f>SUM(B27)-(B32)</f>
        <v>43.75</v>
      </c>
      <c r="C36" s="10"/>
      <c r="D36" s="101"/>
      <c r="E36" s="101"/>
      <c r="F36" s="101"/>
      <c r="G36" s="102"/>
      <c r="H36" s="102"/>
      <c r="I36" s="10"/>
      <c r="J36" s="10"/>
      <c r="K36" s="10"/>
      <c r="L36" s="52"/>
      <c r="M36" s="46"/>
      <c r="N36" s="46"/>
    </row>
    <row r="37" spans="1:14" ht="14" x14ac:dyDescent="0.3">
      <c r="A37" s="133" t="s">
        <v>64</v>
      </c>
      <c r="B37" s="36">
        <f>SUM(B28)-(B33)</f>
        <v>34.35526315789474</v>
      </c>
      <c r="C37" s="10"/>
      <c r="D37" s="32"/>
      <c r="E37" s="32"/>
      <c r="F37" s="32"/>
      <c r="G37" s="10"/>
      <c r="H37" s="10"/>
      <c r="I37" s="10"/>
      <c r="J37" s="10"/>
      <c r="K37" s="10"/>
      <c r="L37" s="52"/>
      <c r="M37" s="46"/>
      <c r="N37" s="46"/>
    </row>
    <row r="38" spans="1:14" ht="14" x14ac:dyDescent="0.3">
      <c r="A38" s="134" t="s">
        <v>65</v>
      </c>
      <c r="B38" s="135"/>
      <c r="C38" s="136"/>
      <c r="D38" s="103">
        <v>8400</v>
      </c>
      <c r="E38" s="104"/>
      <c r="F38" s="143" t="s">
        <v>68</v>
      </c>
      <c r="G38" s="143"/>
      <c r="H38" s="143"/>
      <c r="I38" s="143"/>
      <c r="J38" s="122">
        <f>SUM(D39)*(D40)</f>
        <v>15872.131578947368</v>
      </c>
      <c r="K38" s="122"/>
      <c r="L38" s="52"/>
      <c r="M38" s="46"/>
      <c r="N38" s="46"/>
    </row>
    <row r="39" spans="1:14" ht="14" x14ac:dyDescent="0.3">
      <c r="A39" s="137" t="s">
        <v>66</v>
      </c>
      <c r="B39" s="138"/>
      <c r="C39" s="139"/>
      <c r="D39" s="123">
        <f>SUM(B37)*(D38)</f>
        <v>288584.21052631579</v>
      </c>
      <c r="E39" s="124"/>
      <c r="L39" s="52"/>
      <c r="M39" s="46"/>
      <c r="N39" s="46"/>
    </row>
    <row r="40" spans="1:14" ht="14.5" thickBot="1" x14ac:dyDescent="0.35">
      <c r="A40" s="140" t="s">
        <v>67</v>
      </c>
      <c r="B40" s="141"/>
      <c r="C40" s="142"/>
      <c r="D40" s="125">
        <v>5.5E-2</v>
      </c>
      <c r="E40" s="126"/>
      <c r="F40" s="64"/>
      <c r="G40" s="64"/>
      <c r="H40" s="64"/>
      <c r="I40" s="57"/>
      <c r="J40" s="57"/>
      <c r="K40" s="57"/>
      <c r="L40" s="58"/>
      <c r="M40" s="46"/>
      <c r="N40" s="46"/>
    </row>
  </sheetData>
  <sheetProtection algorithmName="SHA-512" hashValue="ZWRkS2IUz5Gc0/ExALIAKfV94hSADGNOua1XB7bUjCF/VMV7uSIT/BaGXiZpeXPxiCCeHMVFbfTcgxXpq/plYg==" saltValue="HK8U028lBtXP/uU8OAcpQA==" spinCount="100000" sheet="1" objects="1" scenarios="1"/>
  <mergeCells count="9">
    <mergeCell ref="A40:C40"/>
    <mergeCell ref="F38:I38"/>
    <mergeCell ref="J38:K38"/>
    <mergeCell ref="D36:F36"/>
    <mergeCell ref="G36:H36"/>
    <mergeCell ref="A38:C38"/>
    <mergeCell ref="D38:E38"/>
    <mergeCell ref="D39:E39"/>
    <mergeCell ref="A39:C39"/>
  </mergeCells>
  <phoneticPr fontId="0" type="noConversion"/>
  <pageMargins left="0" right="0" top="0.25" bottom="0.25" header="0.5" footer="0.5"/>
  <pageSetup orientation="landscape" horizontalDpi="1200" vertic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workbookViewId="0">
      <selection activeCell="B6" sqref="B6"/>
    </sheetView>
  </sheetViews>
  <sheetFormatPr defaultRowHeight="12.5" x14ac:dyDescent="0.25"/>
  <cols>
    <col min="1" max="1" width="25.81640625" customWidth="1"/>
    <col min="2" max="2" width="11.7265625" customWidth="1"/>
    <col min="9" max="11" width="9.1796875" style="47"/>
  </cols>
  <sheetData>
    <row r="1" spans="1:11" x14ac:dyDescent="0.25">
      <c r="A1" s="48"/>
      <c r="B1" s="49"/>
      <c r="C1" s="49"/>
      <c r="D1" s="49"/>
      <c r="E1" s="49"/>
      <c r="F1" s="49"/>
      <c r="G1" s="49"/>
      <c r="H1" s="50"/>
      <c r="I1" s="46"/>
      <c r="J1" s="46"/>
      <c r="K1" s="46"/>
    </row>
    <row r="2" spans="1:11" ht="18" x14ac:dyDescent="0.4">
      <c r="A2" s="51" t="s">
        <v>29</v>
      </c>
      <c r="B2" s="9"/>
      <c r="C2" s="9"/>
      <c r="D2" s="10"/>
      <c r="E2" s="10"/>
      <c r="F2" s="10"/>
      <c r="G2" s="10"/>
      <c r="H2" s="52"/>
      <c r="I2" s="46"/>
      <c r="J2" s="46"/>
      <c r="K2" s="46"/>
    </row>
    <row r="3" spans="1:11" x14ac:dyDescent="0.25">
      <c r="A3" s="53"/>
      <c r="B3" s="10"/>
      <c r="C3" s="10"/>
      <c r="D3" s="10"/>
      <c r="E3" s="10"/>
      <c r="F3" s="10"/>
      <c r="G3" s="10"/>
      <c r="H3" s="52"/>
      <c r="I3" s="46"/>
      <c r="J3" s="46"/>
      <c r="K3" s="46"/>
    </row>
    <row r="4" spans="1:11" ht="14" x14ac:dyDescent="0.3">
      <c r="A4" s="54" t="s">
        <v>72</v>
      </c>
      <c r="B4" s="17"/>
      <c r="C4" s="17"/>
      <c r="D4" s="17"/>
      <c r="E4" s="11"/>
      <c r="F4" s="10"/>
      <c r="G4" s="10"/>
      <c r="H4" s="52"/>
      <c r="I4" s="46"/>
      <c r="J4" s="46"/>
      <c r="K4" s="46"/>
    </row>
    <row r="5" spans="1:11" ht="14" x14ac:dyDescent="0.3">
      <c r="A5" s="59" t="s">
        <v>50</v>
      </c>
      <c r="B5" s="13">
        <v>4600</v>
      </c>
      <c r="C5" s="17"/>
      <c r="D5" s="17"/>
      <c r="E5" s="10"/>
      <c r="F5" s="10"/>
      <c r="G5" s="10"/>
      <c r="H5" s="52"/>
      <c r="I5" s="46"/>
      <c r="J5" s="46"/>
      <c r="K5" s="46"/>
    </row>
    <row r="6" spans="1:11" ht="14" x14ac:dyDescent="0.3">
      <c r="A6" s="60" t="s">
        <v>49</v>
      </c>
      <c r="B6" s="20">
        <v>16.75</v>
      </c>
      <c r="C6" s="17"/>
      <c r="D6" s="17"/>
      <c r="E6" s="10"/>
      <c r="F6" s="10"/>
      <c r="G6" s="10"/>
      <c r="H6" s="52"/>
      <c r="I6" s="46"/>
      <c r="J6" s="46"/>
      <c r="K6" s="46"/>
    </row>
    <row r="7" spans="1:11" ht="14" x14ac:dyDescent="0.3">
      <c r="A7" s="60" t="s">
        <v>48</v>
      </c>
      <c r="B7" s="20">
        <v>15.5</v>
      </c>
      <c r="C7" s="17"/>
      <c r="D7" s="17"/>
      <c r="E7" s="10"/>
      <c r="F7" s="10"/>
      <c r="G7" s="10"/>
      <c r="H7" s="52"/>
      <c r="I7" s="46"/>
      <c r="J7" s="46"/>
      <c r="K7" s="46"/>
    </row>
    <row r="8" spans="1:11" ht="14" x14ac:dyDescent="0.3">
      <c r="A8" s="60"/>
      <c r="B8" s="15"/>
      <c r="C8" s="17"/>
      <c r="D8" s="17"/>
      <c r="E8" s="10"/>
      <c r="F8" s="10"/>
      <c r="G8" s="10"/>
      <c r="H8" s="52"/>
      <c r="I8" s="46"/>
      <c r="J8" s="46"/>
      <c r="K8" s="46"/>
    </row>
    <row r="9" spans="1:11" ht="14" x14ac:dyDescent="0.3">
      <c r="A9" s="61" t="s">
        <v>56</v>
      </c>
      <c r="B9" s="18">
        <f>SUM(B7/B6)*B5</f>
        <v>4256.7164179104475</v>
      </c>
      <c r="C9" s="19"/>
      <c r="D9" s="17"/>
      <c r="E9" s="10"/>
      <c r="F9" s="10"/>
      <c r="G9" s="10"/>
      <c r="H9" s="52"/>
      <c r="I9" s="46"/>
      <c r="J9" s="46"/>
      <c r="K9" s="46"/>
    </row>
    <row r="10" spans="1:11" ht="14" x14ac:dyDescent="0.3">
      <c r="A10" s="55"/>
      <c r="B10" s="17"/>
      <c r="C10" s="17"/>
      <c r="D10" s="17"/>
      <c r="E10" s="10"/>
      <c r="F10" s="10"/>
      <c r="G10" s="10"/>
      <c r="H10" s="52"/>
      <c r="I10" s="46"/>
      <c r="J10" s="46"/>
      <c r="K10" s="46"/>
    </row>
    <row r="11" spans="1:11" ht="14" x14ac:dyDescent="0.3">
      <c r="A11" s="54" t="s">
        <v>73</v>
      </c>
      <c r="B11" s="17"/>
      <c r="C11" s="17"/>
      <c r="D11" s="17"/>
      <c r="E11" s="10"/>
      <c r="F11" s="10"/>
      <c r="G11" s="10"/>
      <c r="H11" s="52"/>
      <c r="I11" s="46"/>
      <c r="J11" s="46"/>
      <c r="K11" s="46"/>
    </row>
    <row r="12" spans="1:11" ht="14" x14ac:dyDescent="0.3">
      <c r="A12" s="59" t="s">
        <v>42</v>
      </c>
      <c r="B12" s="13">
        <v>100</v>
      </c>
      <c r="C12" s="17"/>
      <c r="D12" s="17"/>
      <c r="E12" s="10"/>
      <c r="F12" s="10"/>
      <c r="G12" s="10"/>
      <c r="H12" s="52"/>
      <c r="I12" s="46"/>
      <c r="J12" s="46"/>
      <c r="K12" s="46"/>
    </row>
    <row r="13" spans="1:11" ht="14" x14ac:dyDescent="0.3">
      <c r="A13" s="60" t="s">
        <v>43</v>
      </c>
      <c r="B13" s="37">
        <f>SUM(B12/2.31)</f>
        <v>43.290043290043286</v>
      </c>
      <c r="C13" s="17"/>
      <c r="D13" s="17"/>
      <c r="E13" s="10"/>
      <c r="F13" s="10"/>
      <c r="G13" s="10"/>
      <c r="H13" s="52"/>
      <c r="I13" s="46"/>
      <c r="J13" s="46"/>
      <c r="K13" s="46"/>
    </row>
    <row r="14" spans="1:11" ht="14" x14ac:dyDescent="0.3">
      <c r="A14" s="60" t="s">
        <v>30</v>
      </c>
      <c r="B14" s="34"/>
      <c r="C14" s="17"/>
      <c r="D14" s="17"/>
      <c r="E14" s="10"/>
      <c r="F14" s="10"/>
      <c r="G14" s="10"/>
      <c r="H14" s="52"/>
      <c r="I14" s="46"/>
      <c r="J14" s="46"/>
      <c r="K14" s="46"/>
    </row>
    <row r="15" spans="1:11" ht="14" x14ac:dyDescent="0.3">
      <c r="A15" s="60" t="s">
        <v>49</v>
      </c>
      <c r="B15" s="20">
        <v>16.75</v>
      </c>
      <c r="C15" s="17"/>
      <c r="D15" s="17"/>
      <c r="E15" s="10"/>
      <c r="F15" s="10"/>
      <c r="G15" s="10"/>
      <c r="H15" s="52"/>
      <c r="I15" s="46"/>
      <c r="J15" s="46"/>
      <c r="K15" s="46"/>
    </row>
    <row r="16" spans="1:11" ht="14" x14ac:dyDescent="0.3">
      <c r="A16" s="60" t="s">
        <v>48</v>
      </c>
      <c r="B16" s="20">
        <v>15.5</v>
      </c>
      <c r="C16" s="17"/>
      <c r="D16" s="17"/>
      <c r="E16" s="10"/>
      <c r="F16" s="10"/>
      <c r="G16" s="10"/>
      <c r="H16" s="52"/>
      <c r="I16" s="46"/>
      <c r="J16" s="46"/>
      <c r="K16" s="46"/>
    </row>
    <row r="17" spans="1:11" ht="14" x14ac:dyDescent="0.3">
      <c r="A17" s="60"/>
      <c r="B17" s="15"/>
      <c r="C17" s="17"/>
      <c r="D17" s="17"/>
      <c r="E17" s="10"/>
      <c r="F17" s="10"/>
      <c r="G17" s="10"/>
      <c r="H17" s="52"/>
      <c r="I17" s="46"/>
      <c r="J17" s="46"/>
      <c r="K17" s="46"/>
    </row>
    <row r="18" spans="1:11" ht="14" x14ac:dyDescent="0.3">
      <c r="A18" s="62" t="s">
        <v>44</v>
      </c>
      <c r="B18" s="33">
        <f>SUM(B12/C18)</f>
        <v>85.63154377366898</v>
      </c>
      <c r="C18" s="19">
        <f>POWER(B15/B16,2)</f>
        <v>1.1677939646201871</v>
      </c>
      <c r="D18" s="17"/>
      <c r="E18" s="10"/>
      <c r="F18" s="10"/>
      <c r="G18" s="10"/>
      <c r="H18" s="52"/>
      <c r="I18" s="46"/>
      <c r="J18" s="46"/>
      <c r="K18" s="46"/>
    </row>
    <row r="19" spans="1:11" ht="14" x14ac:dyDescent="0.3">
      <c r="A19" s="61" t="s">
        <v>45</v>
      </c>
      <c r="B19" s="16">
        <f>SUM(B18/2.31)</f>
        <v>37.069932369553669</v>
      </c>
      <c r="C19" s="19"/>
      <c r="D19" s="17"/>
      <c r="E19" s="10"/>
      <c r="F19" s="10"/>
      <c r="G19" s="10"/>
      <c r="H19" s="52"/>
      <c r="I19" s="46"/>
      <c r="J19" s="46"/>
      <c r="K19" s="46"/>
    </row>
    <row r="20" spans="1:11" ht="14" x14ac:dyDescent="0.3">
      <c r="A20" s="55"/>
      <c r="B20" s="17"/>
      <c r="C20" s="17"/>
      <c r="D20" s="17"/>
      <c r="E20" s="10"/>
      <c r="F20" s="10"/>
      <c r="G20" s="10"/>
      <c r="H20" s="52"/>
      <c r="I20" s="46"/>
      <c r="J20" s="46"/>
      <c r="K20" s="46"/>
    </row>
    <row r="21" spans="1:11" ht="14" x14ac:dyDescent="0.3">
      <c r="A21" s="54" t="s">
        <v>74</v>
      </c>
      <c r="B21" s="17"/>
      <c r="C21" s="17"/>
      <c r="D21" s="17"/>
      <c r="E21" s="10"/>
      <c r="F21" s="10"/>
      <c r="G21" s="10"/>
      <c r="H21" s="52"/>
      <c r="I21" s="46"/>
      <c r="J21" s="46"/>
      <c r="K21" s="46"/>
    </row>
    <row r="22" spans="1:11" ht="14" x14ac:dyDescent="0.3">
      <c r="A22" s="59" t="s">
        <v>47</v>
      </c>
      <c r="B22" s="13">
        <v>340</v>
      </c>
      <c r="C22" s="17"/>
      <c r="D22" s="17"/>
      <c r="E22" s="10"/>
      <c r="F22" s="10"/>
      <c r="G22" s="10"/>
      <c r="H22" s="52"/>
      <c r="I22" s="46"/>
      <c r="J22" s="46"/>
      <c r="K22" s="46"/>
    </row>
    <row r="23" spans="1:11" ht="14" x14ac:dyDescent="0.3">
      <c r="A23" s="60" t="s">
        <v>62</v>
      </c>
      <c r="B23" s="35">
        <v>0.96</v>
      </c>
      <c r="C23" s="17"/>
      <c r="D23" s="17"/>
      <c r="E23" s="10"/>
      <c r="F23" s="10"/>
      <c r="G23" s="10"/>
      <c r="H23" s="52"/>
      <c r="I23" s="46"/>
      <c r="J23" s="46"/>
      <c r="K23" s="46"/>
    </row>
    <row r="24" spans="1:11" ht="14" x14ac:dyDescent="0.3">
      <c r="A24" s="60" t="s">
        <v>60</v>
      </c>
      <c r="B24" s="77">
        <f>SUM(B22)*(0.746)/B23</f>
        <v>264.20833333333331</v>
      </c>
      <c r="C24" s="17"/>
      <c r="D24" s="17"/>
      <c r="E24" s="10"/>
      <c r="F24" s="10"/>
      <c r="G24" s="10"/>
      <c r="H24" s="52"/>
      <c r="I24" s="46"/>
      <c r="J24" s="46"/>
      <c r="K24" s="46"/>
    </row>
    <row r="25" spans="1:11" ht="14" x14ac:dyDescent="0.3">
      <c r="A25" s="60"/>
      <c r="B25" s="14"/>
      <c r="C25" s="17"/>
      <c r="D25" s="17"/>
      <c r="E25" s="10"/>
      <c r="F25" s="10"/>
      <c r="G25" s="10"/>
      <c r="H25" s="52"/>
      <c r="I25" s="46"/>
      <c r="J25" s="46"/>
      <c r="K25" s="46"/>
    </row>
    <row r="26" spans="1:11" ht="14" x14ac:dyDescent="0.3">
      <c r="A26" s="60" t="s">
        <v>49</v>
      </c>
      <c r="B26" s="20">
        <v>16.75</v>
      </c>
      <c r="C26" s="17"/>
      <c r="D26" s="17"/>
      <c r="E26" s="10"/>
      <c r="F26" s="10"/>
      <c r="G26" s="10"/>
      <c r="H26" s="52"/>
      <c r="I26" s="46"/>
      <c r="J26" s="46"/>
      <c r="K26" s="46"/>
    </row>
    <row r="27" spans="1:11" ht="14" x14ac:dyDescent="0.3">
      <c r="A27" s="60" t="s">
        <v>48</v>
      </c>
      <c r="B27" s="20">
        <v>15.5</v>
      </c>
      <c r="C27" s="17"/>
      <c r="D27" s="17"/>
      <c r="E27" s="10"/>
      <c r="F27" s="10"/>
      <c r="G27" s="10"/>
      <c r="H27" s="52"/>
      <c r="I27" s="46"/>
      <c r="J27" s="46"/>
      <c r="K27" s="46"/>
    </row>
    <row r="28" spans="1:11" ht="14" x14ac:dyDescent="0.3">
      <c r="A28" s="60"/>
      <c r="B28" s="15"/>
      <c r="C28" s="17"/>
      <c r="D28" s="17"/>
      <c r="E28" s="10"/>
      <c r="F28" s="10"/>
      <c r="G28" s="10" t="s">
        <v>30</v>
      </c>
      <c r="H28" s="52" t="s">
        <v>30</v>
      </c>
      <c r="I28" s="46"/>
      <c r="J28" s="46"/>
      <c r="K28" s="46"/>
    </row>
    <row r="29" spans="1:11" ht="14" x14ac:dyDescent="0.3">
      <c r="A29" s="62" t="s">
        <v>46</v>
      </c>
      <c r="B29" s="38">
        <f>SUM(B22/C29)</f>
        <v>269.41984220133469</v>
      </c>
      <c r="C29" s="19">
        <f>POWER(B26/B27,3)</f>
        <v>1.2619708972508472</v>
      </c>
      <c r="D29" s="17"/>
      <c r="E29" s="10"/>
      <c r="F29" s="10"/>
      <c r="G29" s="10"/>
      <c r="H29" s="52"/>
      <c r="I29" s="46"/>
      <c r="J29" s="46"/>
      <c r="K29" s="46"/>
    </row>
    <row r="30" spans="1:11" ht="14" x14ac:dyDescent="0.3">
      <c r="A30" s="62" t="s">
        <v>62</v>
      </c>
      <c r="B30" s="39">
        <f>B23</f>
        <v>0.96</v>
      </c>
      <c r="C30" s="10"/>
      <c r="D30" s="10"/>
      <c r="E30" s="10"/>
      <c r="F30" s="10"/>
      <c r="G30" s="10"/>
      <c r="H30" s="52"/>
      <c r="I30" s="46"/>
      <c r="J30" s="46"/>
      <c r="K30" s="46"/>
    </row>
    <row r="31" spans="1:11" ht="14" x14ac:dyDescent="0.3">
      <c r="A31" s="61" t="s">
        <v>61</v>
      </c>
      <c r="B31" s="40">
        <f>SUM(B29)*(0.746)/B30</f>
        <v>209.36166904395384</v>
      </c>
      <c r="C31" s="10"/>
      <c r="D31" s="10"/>
      <c r="E31" s="10"/>
      <c r="F31" s="10"/>
      <c r="G31" s="10"/>
      <c r="H31" s="52"/>
      <c r="I31" s="46"/>
      <c r="J31" s="46"/>
      <c r="K31" s="46"/>
    </row>
    <row r="32" spans="1:11" x14ac:dyDescent="0.25">
      <c r="A32" s="53"/>
      <c r="B32" s="10" t="s">
        <v>30</v>
      </c>
      <c r="C32" s="10"/>
      <c r="D32" s="10"/>
      <c r="E32" s="10"/>
      <c r="F32" s="10"/>
      <c r="G32" s="10"/>
      <c r="H32" s="52"/>
      <c r="I32" s="46"/>
      <c r="J32" s="46"/>
      <c r="K32" s="46"/>
    </row>
    <row r="33" spans="1:11" ht="13" thickBot="1" x14ac:dyDescent="0.3">
      <c r="A33" s="56"/>
      <c r="B33" s="57"/>
      <c r="C33" s="57"/>
      <c r="D33" s="57"/>
      <c r="E33" s="57"/>
      <c r="F33" s="57"/>
      <c r="G33" s="57"/>
      <c r="H33" s="58"/>
      <c r="I33" s="46"/>
      <c r="J33" s="46"/>
      <c r="K33" s="46"/>
    </row>
  </sheetData>
  <sheetProtection algorithmName="SHA-512" hashValue="cKcM1yzvvAOIfkshHhI0X+GPwKk/b7b/mr1JHYmE0nsvS3Xn41kskx4Ac9rRgk8R7Q8skvXxVm8Ig3DmtDOhOQ==" saltValue="RDbzqQMnesB3Oj+/eLSsHA==" spinCount="100000" sheet="1" objects="1" scenarios="1"/>
  <phoneticPr fontId="0" type="noConversion"/>
  <pageMargins left="0.56999999999999995" right="0.4" top="0.75" bottom="0.75" header="0.5" footer="0.5"/>
  <pageSetup orientation="landscape" horizontalDpi="1200" verticalDpi="1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C37"/>
  <sheetViews>
    <sheetView workbookViewId="0">
      <selection activeCell="B25" sqref="B25"/>
    </sheetView>
  </sheetViews>
  <sheetFormatPr defaultRowHeight="12.5" x14ac:dyDescent="0.25"/>
  <cols>
    <col min="1" max="1" width="23.54296875" customWidth="1"/>
    <col min="2" max="2" width="43.81640625" customWidth="1"/>
    <col min="3" max="3" width="12.7265625" customWidth="1"/>
  </cols>
  <sheetData>
    <row r="1" spans="1:3" x14ac:dyDescent="0.25">
      <c r="A1" s="105" t="s">
        <v>31</v>
      </c>
      <c r="B1" s="21"/>
      <c r="C1" s="22"/>
    </row>
    <row r="2" spans="1:3" x14ac:dyDescent="0.25">
      <c r="A2" s="106"/>
      <c r="B2" s="23"/>
      <c r="C2" s="24"/>
    </row>
    <row r="3" spans="1:3" x14ac:dyDescent="0.25">
      <c r="A3" s="107"/>
      <c r="B3" s="23"/>
      <c r="C3" s="24"/>
    </row>
    <row r="4" spans="1:3" x14ac:dyDescent="0.25">
      <c r="A4" s="107"/>
      <c r="B4" s="23"/>
      <c r="C4" s="25"/>
    </row>
    <row r="5" spans="1:3" ht="13" thickBot="1" x14ac:dyDescent="0.3">
      <c r="A5" s="26"/>
      <c r="B5" s="23"/>
      <c r="C5" s="24"/>
    </row>
    <row r="6" spans="1:3" ht="13" thickBot="1" x14ac:dyDescent="0.3">
      <c r="A6" s="26"/>
      <c r="B6" s="29" t="s">
        <v>33</v>
      </c>
      <c r="C6" s="27">
        <v>60</v>
      </c>
    </row>
    <row r="7" spans="1:3" ht="13" thickBot="1" x14ac:dyDescent="0.3">
      <c r="A7" s="26"/>
      <c r="B7" s="29" t="s">
        <v>34</v>
      </c>
      <c r="C7" s="27">
        <v>0.95</v>
      </c>
    </row>
    <row r="8" spans="1:3" ht="16" thickBot="1" x14ac:dyDescent="0.45">
      <c r="A8" s="26"/>
      <c r="B8" s="29" t="s">
        <v>32</v>
      </c>
      <c r="C8" s="44">
        <f>C6*0.746/C7</f>
        <v>47.11578947368421</v>
      </c>
    </row>
    <row r="9" spans="1:3" x14ac:dyDescent="0.25">
      <c r="A9" s="26"/>
      <c r="B9" s="23"/>
      <c r="C9" s="24"/>
    </row>
    <row r="10" spans="1:3" x14ac:dyDescent="0.25">
      <c r="A10" s="26"/>
      <c r="B10" s="23"/>
      <c r="C10" s="24"/>
    </row>
    <row r="11" spans="1:3" x14ac:dyDescent="0.25">
      <c r="A11" s="26"/>
      <c r="B11" s="23"/>
      <c r="C11" s="24"/>
    </row>
    <row r="12" spans="1:3" x14ac:dyDescent="0.25">
      <c r="A12" s="26"/>
      <c r="B12" s="23"/>
      <c r="C12" s="24"/>
    </row>
    <row r="13" spans="1:3" ht="13" thickBot="1" x14ac:dyDescent="0.3">
      <c r="A13" s="26"/>
      <c r="B13" s="23"/>
      <c r="C13" s="24"/>
    </row>
    <row r="14" spans="1:3" ht="13" thickBot="1" x14ac:dyDescent="0.3">
      <c r="A14" s="26"/>
      <c r="B14" s="29" t="s">
        <v>36</v>
      </c>
      <c r="C14" s="27">
        <v>60</v>
      </c>
    </row>
    <row r="15" spans="1:3" ht="13" thickBot="1" x14ac:dyDescent="0.3">
      <c r="A15" s="26"/>
      <c r="B15" s="29" t="s">
        <v>34</v>
      </c>
      <c r="C15" s="27">
        <v>0.95</v>
      </c>
    </row>
    <row r="16" spans="1:3" ht="13" thickBot="1" x14ac:dyDescent="0.3">
      <c r="A16" s="26"/>
      <c r="B16" s="29" t="s">
        <v>37</v>
      </c>
      <c r="C16" s="27">
        <v>3</v>
      </c>
    </row>
    <row r="17" spans="1:3" ht="16" thickBot="1" x14ac:dyDescent="0.45">
      <c r="A17" s="26"/>
      <c r="B17" s="29" t="s">
        <v>35</v>
      </c>
      <c r="C17" s="44">
        <f>C14*0.746/C15+C16*0.746/C15</f>
        <v>49.471578947368421</v>
      </c>
    </row>
    <row r="18" spans="1:3" ht="13" thickBot="1" x14ac:dyDescent="0.3">
      <c r="A18" s="26"/>
      <c r="B18" s="23"/>
      <c r="C18" s="24"/>
    </row>
    <row r="19" spans="1:3" x14ac:dyDescent="0.25">
      <c r="A19" s="105" t="s">
        <v>31</v>
      </c>
      <c r="B19" s="23"/>
      <c r="C19" s="24"/>
    </row>
    <row r="20" spans="1:3" x14ac:dyDescent="0.25">
      <c r="A20" s="106"/>
      <c r="B20" s="23"/>
      <c r="C20" s="24" t="s">
        <v>30</v>
      </c>
    </row>
    <row r="21" spans="1:3" x14ac:dyDescent="0.25">
      <c r="A21" s="107"/>
      <c r="B21" s="23"/>
      <c r="C21" s="24"/>
    </row>
    <row r="22" spans="1:3" x14ac:dyDescent="0.25">
      <c r="A22" s="107"/>
      <c r="B22" s="23"/>
      <c r="C22" s="24"/>
    </row>
    <row r="23" spans="1:3" ht="13" thickBot="1" x14ac:dyDescent="0.3">
      <c r="A23" s="26"/>
      <c r="B23" s="23"/>
      <c r="C23" s="24"/>
    </row>
    <row r="24" spans="1:3" ht="13" thickBot="1" x14ac:dyDescent="0.3">
      <c r="A24" s="26"/>
      <c r="B24" s="29" t="s">
        <v>39</v>
      </c>
      <c r="C24" s="27">
        <v>0.99</v>
      </c>
    </row>
    <row r="25" spans="1:3" ht="13" thickBot="1" x14ac:dyDescent="0.3">
      <c r="A25" s="26"/>
      <c r="B25" s="29" t="s">
        <v>40</v>
      </c>
      <c r="C25" s="27">
        <v>60</v>
      </c>
    </row>
    <row r="26" spans="1:3" ht="13" thickBot="1" x14ac:dyDescent="0.3">
      <c r="A26" s="26"/>
      <c r="B26" s="29" t="s">
        <v>41</v>
      </c>
      <c r="C26" s="27">
        <v>460</v>
      </c>
    </row>
    <row r="27" spans="1:3" ht="13.5" thickBot="1" x14ac:dyDescent="0.35">
      <c r="A27" s="26"/>
      <c r="B27" s="29" t="s">
        <v>38</v>
      </c>
      <c r="C27" s="44">
        <f>C25*C26*SQRT(3)*C24/1000</f>
        <v>47.326556266012005</v>
      </c>
    </row>
    <row r="28" spans="1:3" x14ac:dyDescent="0.25">
      <c r="A28" s="26"/>
      <c r="B28" s="23"/>
      <c r="C28" s="24"/>
    </row>
    <row r="29" spans="1:3" x14ac:dyDescent="0.25">
      <c r="A29" s="26"/>
      <c r="B29" s="23"/>
      <c r="C29" s="24"/>
    </row>
    <row r="30" spans="1:3" x14ac:dyDescent="0.25">
      <c r="A30" s="26"/>
      <c r="B30" s="23"/>
      <c r="C30" s="24"/>
    </row>
    <row r="31" spans="1:3" x14ac:dyDescent="0.25">
      <c r="A31" s="26"/>
      <c r="B31" s="23"/>
      <c r="C31" s="24"/>
    </row>
    <row r="32" spans="1:3" x14ac:dyDescent="0.25">
      <c r="A32" s="26"/>
      <c r="B32" s="23"/>
      <c r="C32" s="24"/>
    </row>
    <row r="33" spans="1:3" ht="13" thickBot="1" x14ac:dyDescent="0.3">
      <c r="A33" s="26"/>
      <c r="B33" s="23"/>
      <c r="C33" s="24"/>
    </row>
    <row r="34" spans="1:3" ht="13" thickBot="1" x14ac:dyDescent="0.3">
      <c r="A34" s="26"/>
      <c r="B34" s="29" t="s">
        <v>39</v>
      </c>
      <c r="C34" s="27">
        <v>0.99</v>
      </c>
    </row>
    <row r="35" spans="1:3" ht="13" thickBot="1" x14ac:dyDescent="0.3">
      <c r="A35" s="26"/>
      <c r="B35" s="29" t="s">
        <v>40</v>
      </c>
      <c r="C35" s="27">
        <v>50</v>
      </c>
    </row>
    <row r="36" spans="1:3" ht="13" thickBot="1" x14ac:dyDescent="0.3">
      <c r="A36" s="26"/>
      <c r="B36" s="29" t="s">
        <v>41</v>
      </c>
      <c r="C36" s="45">
        <v>460</v>
      </c>
    </row>
    <row r="37" spans="1:3" ht="13.5" thickBot="1" x14ac:dyDescent="0.35">
      <c r="A37" s="28"/>
      <c r="B37" s="30" t="s">
        <v>33</v>
      </c>
      <c r="C37" s="44">
        <f>C35*C36*SQRT(3)*C34/746</f>
        <v>52.867019957564793</v>
      </c>
    </row>
  </sheetData>
  <sheetProtection algorithmName="SHA-512" hashValue="M+6E/EFC5p95hAd7mljkM8oiCKFM/gy8YbHLTeaTBUzeia+WzFmzRkcs+ItfWEfcINWDKMLwqq+ZleUcp+Ar4A==" saltValue="srLeDawVm2EnmZT7FEWxRw==" spinCount="100000" sheet="1" objects="1" scenarios="1"/>
  <mergeCells count="2">
    <mergeCell ref="A1:A4"/>
    <mergeCell ref="A19:A2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r:id="rId5">
            <anchor mov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1727200</xdr:colOff>
                <xdr:row>3</xdr:row>
                <xdr:rowOff>76200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r:id="rId7">
            <anchor moveWithCells="1">
              <from>
                <xdr:col>1</xdr:col>
                <xdr:colOff>19050</xdr:colOff>
                <xdr:row>18</xdr:row>
                <xdr:rowOff>19050</xdr:rowOff>
              </from>
              <to>
                <xdr:col>1</xdr:col>
                <xdr:colOff>2603500</xdr:colOff>
                <xdr:row>21</xdr:row>
                <xdr:rowOff>146050</xdr:rowOff>
              </to>
            </anchor>
          </objectPr>
        </oleObject>
      </mc:Choice>
      <mc:Fallback>
        <oleObject progId="Equation.3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Pump Formulas</vt:lpstr>
      <vt:lpstr>Affinity Laws</vt:lpstr>
      <vt:lpstr>Affinity Laws Toolbox 1</vt:lpstr>
      <vt:lpstr>Affinity Laws Toolbox 2</vt:lpstr>
      <vt:lpstr>Electrical Equations</vt:lpstr>
    </vt:vector>
  </TitlesOfParts>
  <Company>The Cross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GGC</dc:creator>
  <cp:lastModifiedBy>Gregory G. Cross</cp:lastModifiedBy>
  <cp:lastPrinted>2020-11-21T11:33:29Z</cp:lastPrinted>
  <dcterms:created xsi:type="dcterms:W3CDTF">2005-11-13T10:13:24Z</dcterms:created>
  <dcterms:modified xsi:type="dcterms:W3CDTF">2021-09-13T11:25:42Z</dcterms:modified>
</cp:coreProperties>
</file>